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0" windowWidth="14400" windowHeight="10700"/>
  </bookViews>
  <sheets>
    <sheet name="Summary" sheetId="3" r:id="rId1"/>
    <sheet name="AEMC" sheetId="1" r:id="rId2"/>
    <sheet name="CME2016" sheetId="2" r:id="rId3"/>
  </sheets>
  <definedNames>
    <definedName name="ActDisPercent">AEMC!$G$58</definedName>
    <definedName name="ActEnvPercent">AEMC!$G$51</definedName>
    <definedName name="ActGenPercent">AEMC!$G$61</definedName>
    <definedName name="ActRetailPercentOfRetailAndWholesale">'CME2016'!$F$22</definedName>
    <definedName name="ActRetPercent">AEMC!$G$62</definedName>
    <definedName name="ActTotalckWh">AEMC!$B$63</definedName>
    <definedName name="ActTraPercent">AEMC!$G$57</definedName>
    <definedName name="ACTWholesalePercentOfRetailAndWholesale">'CME2016'!$F$23</definedName>
    <definedName name="NemDisPercent">AEMC!$G$16</definedName>
    <definedName name="NemEnvPercent">AEMC!$G$9</definedName>
    <definedName name="NemGenPercent">AEMC!$G$19</definedName>
    <definedName name="NemRetailPercentOfRetailAndWholesale">'CME2016'!$J$22</definedName>
    <definedName name="NemRetPercent">AEMC!$G$20</definedName>
    <definedName name="NemTotalckWh">AEMC!$B$21</definedName>
    <definedName name="NemTraPercent">AEMC!$G$15</definedName>
    <definedName name="NemWholesalePercentOfRetailAndWholesale">'CME2016'!$J$23</definedName>
    <definedName name="NswDisPercent">AEMC!$G$87</definedName>
    <definedName name="NswEnvPercent">AEMC!$G$80</definedName>
    <definedName name="NswGenPercent">AEMC!$G$90</definedName>
    <definedName name="NswRetailPercentOfRetailAndWholesale">'CME2016'!$D$22</definedName>
    <definedName name="NswRetPercent">AEMC!$G$91</definedName>
    <definedName name="NswTotalckWh">AEMC!$B$92</definedName>
    <definedName name="NswTraPercent">AEMC!$G$86</definedName>
    <definedName name="NswWholesalePercentOfRetailAndWholesale">'CME2016'!$D$23</definedName>
    <definedName name="_xlnm.Print_Area" localSheetId="1">AEMC!$A$1:$H$119</definedName>
    <definedName name="_xlnm.Print_Area" localSheetId="2">'CME2016'!$A$1:$J$37</definedName>
    <definedName name="_xlnm.Print_Area" localSheetId="0">Summary!$A$1:$I$43</definedName>
    <definedName name="QldDisPercent">AEMC!$G$72</definedName>
    <definedName name="QldEnvPercent">AEMC!$G$66</definedName>
    <definedName name="QldGenPercent">AEMC!$G$75</definedName>
    <definedName name="QldRetailPercentOfRetailAndWholesale">'CME2016'!$C$22</definedName>
    <definedName name="QldRetPercent">AEMC!$G$76</definedName>
    <definedName name="QldTotalckWh">AEMC!$B$77</definedName>
    <definedName name="QldTraPercent">AEMC!$G$71</definedName>
    <definedName name="QldWholesalePercentOfRetailAndWholesale">'CME2016'!$C$23</definedName>
    <definedName name="SaDisPercent">AEMC!$G$31</definedName>
    <definedName name="SaEnvPercent">AEMC!$G$24</definedName>
    <definedName name="SaGenPercent">AEMC!$G$34</definedName>
    <definedName name="SaRetailPercentOfRetailAndWholesale">'CME2016'!$B$22</definedName>
    <definedName name="SaRetPercent">AEMC!$G$35</definedName>
    <definedName name="SaTotalckWh">AEMC!$B$36</definedName>
    <definedName name="SaTraPercent">AEMC!$G$30</definedName>
    <definedName name="SaWholesalePercentOfRetailAndWholesale">'CME2016'!$B$23</definedName>
    <definedName name="TasDisPercent">AEMC!$G$44</definedName>
    <definedName name="TasEnvPercent">AEMC!$G$40</definedName>
    <definedName name="TasGenPercent">AEMC!$G$46</definedName>
    <definedName name="TasRetailPercent">'CME2016'!$G$7</definedName>
    <definedName name="TasRetPercent">AEMC!$G$47</definedName>
    <definedName name="TasTotalckWh">AEMC!$B$48</definedName>
    <definedName name="TasTraPercent">AEMC!$G$43</definedName>
    <definedName name="VicDisPercent">AEMC!$G$102</definedName>
    <definedName name="VicEnvPercent">AEMC!$G$95</definedName>
    <definedName name="VicGenPercent">AEMC!$G$105</definedName>
    <definedName name="VicRetailPercentOfRetailAndWholesale">'CME2016'!$E$22</definedName>
    <definedName name="VicRetPercent">AEMC!$G$106</definedName>
    <definedName name="VicTotalckWh">AEMC!$B$107</definedName>
    <definedName name="VicTraPercent">AEMC!$G$101</definedName>
    <definedName name="VicWholesalePercentOfRetailAndWholesale">'CME2016'!$E$23</definedName>
  </definedNames>
  <calcPr calcId="145621"/>
</workbook>
</file>

<file path=xl/calcChain.xml><?xml version="1.0" encoding="utf-8"?>
<calcChain xmlns="http://schemas.openxmlformats.org/spreadsheetml/2006/main">
  <c r="J23" i="2" l="1"/>
  <c r="J22" i="2"/>
  <c r="J21" i="2"/>
  <c r="J7" i="2"/>
  <c r="C56" i="1" l="1"/>
  <c r="B56" i="1"/>
  <c r="C51" i="1"/>
  <c r="B51" i="1"/>
  <c r="C63" i="1" l="1"/>
  <c r="E57" i="1" s="1"/>
  <c r="B63" i="1"/>
  <c r="E56" i="1" l="1"/>
  <c r="F20" i="3"/>
  <c r="G61" i="1"/>
  <c r="D57" i="1"/>
  <c r="G62" i="1"/>
  <c r="D58" i="1"/>
  <c r="D56" i="1"/>
  <c r="G57" i="1"/>
  <c r="G58" i="1"/>
  <c r="G51" i="1"/>
  <c r="C29" i="1"/>
  <c r="C24" i="1"/>
  <c r="B29" i="1"/>
  <c r="B24" i="1"/>
  <c r="B40" i="1"/>
  <c r="C40" i="1"/>
  <c r="G63" i="1" l="1"/>
  <c r="F14" i="3"/>
  <c r="F26" i="3"/>
  <c r="F27" i="3"/>
  <c r="F15" i="3"/>
  <c r="F13" i="3"/>
  <c r="F25" i="3"/>
  <c r="F28" i="3"/>
  <c r="F16" i="3"/>
  <c r="F12" i="3"/>
  <c r="F24" i="3"/>
  <c r="C36" i="1"/>
  <c r="B36" i="1"/>
  <c r="G24" i="1" s="1"/>
  <c r="B16" i="3" l="1"/>
  <c r="B28" i="3"/>
  <c r="E58" i="1"/>
  <c r="E30" i="1"/>
  <c r="E31" i="1"/>
  <c r="E29" i="1"/>
  <c r="B20" i="3"/>
  <c r="G35" i="1"/>
  <c r="G34" i="1"/>
  <c r="G31" i="1"/>
  <c r="G30" i="1"/>
  <c r="D30" i="1"/>
  <c r="D31" i="1"/>
  <c r="D29" i="1"/>
  <c r="G16" i="3"/>
  <c r="G15" i="3"/>
  <c r="G14" i="3"/>
  <c r="G13" i="3"/>
  <c r="G12" i="3"/>
  <c r="B27" i="3" l="1"/>
  <c r="B15" i="3"/>
  <c r="B26" i="3"/>
  <c r="B14" i="3"/>
  <c r="B24" i="3"/>
  <c r="B12" i="3"/>
  <c r="G36" i="1"/>
  <c r="B25" i="3"/>
  <c r="B13" i="3"/>
  <c r="F29" i="3"/>
  <c r="F17" i="3"/>
  <c r="G17" i="3"/>
  <c r="B17" i="3" l="1"/>
  <c r="B29" i="3"/>
  <c r="J24" i="2"/>
  <c r="F21" i="2"/>
  <c r="J8" i="2"/>
  <c r="J9" i="2"/>
  <c r="J10" i="2"/>
  <c r="J11" i="2"/>
  <c r="G48" i="1"/>
  <c r="G11" i="2"/>
  <c r="J32" i="2"/>
  <c r="C32" i="2"/>
  <c r="D32" i="2"/>
  <c r="E32" i="2"/>
  <c r="F32" i="2"/>
  <c r="G32" i="2"/>
  <c r="B32" i="2"/>
  <c r="J31" i="2"/>
  <c r="C31" i="2"/>
  <c r="D31" i="2"/>
  <c r="E31" i="2"/>
  <c r="F31" i="2"/>
  <c r="G31" i="2"/>
  <c r="B31" i="2"/>
  <c r="J29" i="2"/>
  <c r="C29" i="2"/>
  <c r="D29" i="2"/>
  <c r="E29" i="2"/>
  <c r="F29" i="2"/>
  <c r="G29" i="2"/>
  <c r="H29" i="2"/>
  <c r="I29" i="2"/>
  <c r="B29" i="2"/>
  <c r="J28" i="2"/>
  <c r="C24" i="2"/>
  <c r="D24" i="2"/>
  <c r="E24" i="2"/>
  <c r="F24" i="2"/>
  <c r="B24" i="2"/>
  <c r="C23" i="2"/>
  <c r="D23" i="2"/>
  <c r="E23" i="2"/>
  <c r="F23" i="2"/>
  <c r="B23" i="2"/>
  <c r="C22" i="2"/>
  <c r="D22" i="2"/>
  <c r="E22" i="2"/>
  <c r="F22" i="2"/>
  <c r="B22" i="2"/>
  <c r="C21" i="2"/>
  <c r="D21" i="2"/>
  <c r="E21" i="2"/>
  <c r="B21" i="2"/>
  <c r="C19" i="2"/>
  <c r="D19" i="2"/>
  <c r="E19" i="2"/>
  <c r="F19" i="2"/>
  <c r="B19" i="2"/>
  <c r="C18" i="2"/>
  <c r="D18" i="2"/>
  <c r="E18" i="2"/>
  <c r="F18" i="2"/>
  <c r="B18" i="2"/>
  <c r="C17" i="2"/>
  <c r="D17" i="2"/>
  <c r="E17" i="2"/>
  <c r="F17" i="2"/>
  <c r="B17" i="2"/>
  <c r="C15" i="2"/>
  <c r="D15" i="2"/>
  <c r="E15" i="2"/>
  <c r="F15" i="2"/>
  <c r="C16" i="2"/>
  <c r="D16" i="2"/>
  <c r="E16" i="2"/>
  <c r="F16" i="2"/>
  <c r="B16" i="2"/>
  <c r="B15" i="2"/>
  <c r="C12" i="2"/>
  <c r="D12" i="2"/>
  <c r="E12" i="2"/>
  <c r="F12" i="2"/>
  <c r="G12" i="2"/>
  <c r="B12" i="2"/>
  <c r="J12" i="2" l="1"/>
  <c r="C100" i="1"/>
  <c r="B100" i="1"/>
  <c r="C95" i="1"/>
  <c r="B95" i="1"/>
  <c r="B107" i="1" l="1"/>
  <c r="E20" i="3" s="1"/>
  <c r="C107" i="1"/>
  <c r="E101" i="1" s="1"/>
  <c r="C85" i="1"/>
  <c r="B85" i="1"/>
  <c r="C80" i="1"/>
  <c r="B80" i="1"/>
  <c r="C70" i="1"/>
  <c r="B70" i="1"/>
  <c r="C66" i="1"/>
  <c r="B66" i="1"/>
  <c r="C48" i="1"/>
  <c r="E42" i="1" s="1"/>
  <c r="C14" i="1"/>
  <c r="C9" i="1"/>
  <c r="B14" i="1"/>
  <c r="B9" i="1"/>
  <c r="G95" i="1" l="1"/>
  <c r="E28" i="3" s="1"/>
  <c r="D102" i="1"/>
  <c r="G106" i="1"/>
  <c r="G105" i="1"/>
  <c r="G102" i="1"/>
  <c r="G101" i="1"/>
  <c r="D100" i="1"/>
  <c r="E100" i="1"/>
  <c r="E102" i="1"/>
  <c r="D101" i="1"/>
  <c r="C92" i="1"/>
  <c r="E86" i="1" s="1"/>
  <c r="B92" i="1"/>
  <c r="D20" i="3" s="1"/>
  <c r="C77" i="1"/>
  <c r="E71" i="1" s="1"/>
  <c r="B77" i="1"/>
  <c r="C20" i="3" s="1"/>
  <c r="B21" i="1"/>
  <c r="B48" i="1"/>
  <c r="C21" i="1"/>
  <c r="E14" i="1" s="1"/>
  <c r="E16" i="3" l="1"/>
  <c r="H20" i="3"/>
  <c r="E25" i="3"/>
  <c r="E13" i="3"/>
  <c r="E26" i="3"/>
  <c r="E14" i="3"/>
  <c r="G28" i="3"/>
  <c r="G20" i="3"/>
  <c r="G27" i="3"/>
  <c r="G26" i="3"/>
  <c r="G25" i="3"/>
  <c r="G24" i="3"/>
  <c r="E24" i="3"/>
  <c r="E12" i="3"/>
  <c r="G107" i="1"/>
  <c r="E27" i="3"/>
  <c r="E15" i="3"/>
  <c r="D16" i="1"/>
  <c r="G20" i="1"/>
  <c r="G19" i="1"/>
  <c r="G15" i="1"/>
  <c r="H13" i="3" s="1"/>
  <c r="G16" i="1"/>
  <c r="H14" i="3" s="1"/>
  <c r="D71" i="1"/>
  <c r="G71" i="1"/>
  <c r="G76" i="1"/>
  <c r="G75" i="1"/>
  <c r="G72" i="1"/>
  <c r="G66" i="1"/>
  <c r="D42" i="1"/>
  <c r="D86" i="1"/>
  <c r="G91" i="1"/>
  <c r="G87" i="1"/>
  <c r="G90" i="1"/>
  <c r="G86" i="1"/>
  <c r="G80" i="1"/>
  <c r="G9" i="1"/>
  <c r="H16" i="3" s="1"/>
  <c r="E70" i="1"/>
  <c r="D14" i="1"/>
  <c r="D85" i="1"/>
  <c r="E85" i="1"/>
  <c r="D70" i="1"/>
  <c r="E87" i="1"/>
  <c r="D87" i="1"/>
  <c r="E72" i="1"/>
  <c r="D72" i="1"/>
  <c r="D15" i="1"/>
  <c r="E16" i="1"/>
  <c r="E15" i="1"/>
  <c r="H28" i="3" l="1"/>
  <c r="E29" i="3"/>
  <c r="D28" i="3"/>
  <c r="D16" i="3"/>
  <c r="C26" i="3"/>
  <c r="C14" i="3"/>
  <c r="H25" i="3"/>
  <c r="D25" i="3"/>
  <c r="D13" i="3"/>
  <c r="H26" i="3"/>
  <c r="D26" i="3"/>
  <c r="D14" i="3"/>
  <c r="C28" i="3"/>
  <c r="C16" i="3"/>
  <c r="C25" i="3"/>
  <c r="C13" i="3"/>
  <c r="G29" i="3"/>
  <c r="D24" i="3"/>
  <c r="D12" i="3"/>
  <c r="C27" i="3"/>
  <c r="C15" i="3"/>
  <c r="H24" i="3"/>
  <c r="H12" i="3"/>
  <c r="D27" i="3"/>
  <c r="D15" i="3"/>
  <c r="H27" i="3"/>
  <c r="H15" i="3"/>
  <c r="C24" i="3"/>
  <c r="C12" i="3"/>
  <c r="E17" i="3"/>
  <c r="G77" i="1"/>
  <c r="G21" i="1"/>
  <c r="G92" i="1"/>
  <c r="C17" i="3" l="1"/>
  <c r="C29" i="3"/>
  <c r="D17" i="3"/>
  <c r="H29" i="3"/>
  <c r="D29" i="3"/>
  <c r="H17" i="3"/>
</calcChain>
</file>

<file path=xl/comments1.xml><?xml version="1.0" encoding="utf-8"?>
<comments xmlns="http://schemas.openxmlformats.org/spreadsheetml/2006/main">
  <authors>
    <author>Jack Gilding</author>
  </authors>
  <commentList>
    <comment ref="F44" authorId="0">
      <text>
        <r>
          <rPr>
            <b/>
            <sz val="9"/>
            <color indexed="81"/>
            <rFont val="Tahoma"/>
            <family val="2"/>
          </rPr>
          <t>Jack Gilding:</t>
        </r>
        <r>
          <rPr>
            <sz val="9"/>
            <color indexed="81"/>
            <rFont val="Tahoma"/>
            <family val="2"/>
          </rPr>
          <t xml:space="preserve">
distribution plus metering</t>
        </r>
      </text>
    </comment>
  </commentList>
</comments>
</file>

<file path=xl/sharedStrings.xml><?xml version="1.0" encoding="utf-8"?>
<sst xmlns="http://schemas.openxmlformats.org/spreadsheetml/2006/main" count="225" uniqueCount="107">
  <si>
    <t>National p.212</t>
  </si>
  <si>
    <t>Supply chain cost components for 2014/15 base year taken from AEMC  2015 Residential Electricity Price Trends, Final Report</t>
  </si>
  <si>
    <t>Environmental policies</t>
  </si>
  <si>
    <t>Regulated Networks</t>
  </si>
  <si>
    <t xml:space="preserve">  SRES</t>
  </si>
  <si>
    <t xml:space="preserve">  LRET</t>
  </si>
  <si>
    <t xml:space="preserve">  FIT schemes</t>
  </si>
  <si>
    <t xml:space="preserve">  Other state schemes</t>
  </si>
  <si>
    <t xml:space="preserve">  Transmission</t>
  </si>
  <si>
    <t xml:space="preserve">  Distribution</t>
  </si>
  <si>
    <t>Competitive market</t>
  </si>
  <si>
    <t xml:space="preserve">  Wholesale and retail</t>
  </si>
  <si>
    <t>Total</t>
  </si>
  <si>
    <t>c/kWh</t>
  </si>
  <si>
    <t>$/yr</t>
  </si>
  <si>
    <t>% /kWh</t>
  </si>
  <si>
    <t>% /yr</t>
  </si>
  <si>
    <t>Tasmania p.70 does not separate transmission and distribution costs</t>
  </si>
  <si>
    <t>RET</t>
  </si>
  <si>
    <t xml:space="preserve"> Wholesale and retail</t>
  </si>
  <si>
    <t>SE Qld p.105</t>
  </si>
  <si>
    <t>Solar bonus scheme</t>
  </si>
  <si>
    <t>NSW p.119</t>
  </si>
  <si>
    <t xml:space="preserve">  Energy Saving Scheme</t>
  </si>
  <si>
    <t xml:space="preserve">  Climate Change fund</t>
  </si>
  <si>
    <t>http://www.aemc.gov.au/Markets-Reviews-Advice/2015-Residential-Electricity-Price-Trends</t>
  </si>
  <si>
    <t>Victoria p.147</t>
  </si>
  <si>
    <t xml:space="preserve">  Feed in Tariff schemes</t>
  </si>
  <si>
    <t>Victorian Energy Efficiency Target</t>
  </si>
  <si>
    <t>Notes</t>
  </si>
  <si>
    <t>See additional notes below.</t>
  </si>
  <si>
    <t>AEMC methodology</t>
  </si>
  <si>
    <t>See page 216 onwards for details. In summary most common household type in each jurisdiction chosen (usually 2 persons, no pool).</t>
  </si>
  <si>
    <t>See Box J.1 p.221 for "Process of calculating a single c/kWh value"</t>
  </si>
  <si>
    <t>Retail</t>
  </si>
  <si>
    <t>Metering</t>
  </si>
  <si>
    <t>Environmental</t>
  </si>
  <si>
    <t>Wholesale</t>
  </si>
  <si>
    <t>Network</t>
  </si>
  <si>
    <t>SA</t>
  </si>
  <si>
    <t>Qld</t>
  </si>
  <si>
    <t>NSW</t>
  </si>
  <si>
    <t>Vic</t>
  </si>
  <si>
    <t>ACT</t>
  </si>
  <si>
    <t>Population weighting</t>
  </si>
  <si>
    <t>As per chart</t>
  </si>
  <si>
    <t>Grouped</t>
  </si>
  <si>
    <t>Network+metering</t>
  </si>
  <si>
    <t>Retail as % of combined</t>
  </si>
  <si>
    <t>Wholesale as % of combined</t>
  </si>
  <si>
    <t>Retail+wholesale combined</t>
  </si>
  <si>
    <t>check</t>
  </si>
  <si>
    <t>WA</t>
  </si>
  <si>
    <t>NT</t>
  </si>
  <si>
    <t>% of national</t>
  </si>
  <si>
    <t>NEM</t>
  </si>
  <si>
    <t>% of NEM</t>
  </si>
  <si>
    <t>NEM weighting</t>
  </si>
  <si>
    <t>Data for SA Qld NSW Vic ACT scaled from Figure 5 of CME2016.</t>
  </si>
  <si>
    <t>Tas (2)</t>
  </si>
  <si>
    <t xml:space="preserve">2) Tasmanian percentages from Tariff Strategy Information Brochure “Improving the way we price our services”, TasNetworks, p1
http://www.tasnetworks.com.au/TasNetworks/media/pdf/customer-engagement/TAS0107_Tariff-Pricing-Information-Brochure.pdf 
</t>
  </si>
  <si>
    <t>Population (1)</t>
  </si>
  <si>
    <t>1) Population source: http://www.abs.gov.au/ausstats/abs@.nsf/mf/3101.0</t>
  </si>
  <si>
    <t>Transmission</t>
  </si>
  <si>
    <t>Distribution</t>
  </si>
  <si>
    <t>AEMC data</t>
  </si>
  <si>
    <t>Generation</t>
  </si>
  <si>
    <t>http://www.tasnetworks.com.au/TasNetworks/media/pdf/customer-engagement/TAS0107_Tariff-Pricing-Information-Brochure.pdf</t>
  </si>
  <si>
    <t>2) Tasmanian percentages from Tariff Strategy Information Brochure “Improving the way we price our services”, TasNetworks</t>
  </si>
  <si>
    <t>Tas</t>
  </si>
  <si>
    <t>% of most common retail bill</t>
  </si>
  <si>
    <t>c/kWh for most common retail bill</t>
  </si>
  <si>
    <t>SA p.67</t>
  </si>
  <si>
    <t xml:space="preserve"> Solar  FIT</t>
  </si>
  <si>
    <t>REES</t>
  </si>
  <si>
    <t>ACT p. 134</t>
  </si>
  <si>
    <t>FIT schemes</t>
  </si>
  <si>
    <t>EEIS</t>
  </si>
  <si>
    <t>Allocation of c/kWh for most common retail bill</t>
  </si>
  <si>
    <t>http://www.solarcitizens.org.au/fairprice</t>
  </si>
  <si>
    <t>Comments, queries and feeback to:</t>
  </si>
  <si>
    <t>jack.gilding@backroad.com.au</t>
  </si>
  <si>
    <t>Breakdown between wholesale and retail taken from CME2016. See separate tab in this spreadsheet.</t>
  </si>
  <si>
    <t xml:space="preserve">Apart from rounding errors there are no difference in percentage allocation between the c/kW and $/yr figures. See below, fixed costs are converted to c/kWh. </t>
  </si>
  <si>
    <t>Derived data</t>
  </si>
  <si>
    <t>(see note 3)</t>
  </si>
  <si>
    <t>(see note 2)</t>
  </si>
  <si>
    <t>3) Source TasNetworks chart does not list environmental schemes as a separate component.</t>
  </si>
  <si>
    <t>1) I have entered components manually from tables in document and then added total formulas as required. This sometime means that totals are slightly different to the original table as I do not have access to underlying data so there are rounding errors.</t>
  </si>
  <si>
    <t>Derivation of the split between wholesale energy and retailing components applied to AEMC Residential retail price components</t>
  </si>
  <si>
    <t>http://cmeaustralia.com.au/wp-content/uploads/2013/09/160815-FINAL-getup-retail-report-.pdf</t>
  </si>
  <si>
    <t>CME 2016, Australia’s retail electricity markets: who is serving whom?, Carbon and Energy Markets, Aug 2016</t>
  </si>
  <si>
    <t>Weightings applied to average of jurisdiction percentages to derive NEM percentages</t>
  </si>
  <si>
    <t>The main data source is the AEMC 2015 Residential Electricity Price Trends (AEMC 2015d) which provides a breakdown of cost components by state and nationally. Two additional sources are used because the AEMC report combines the contribution of retailing costs and wholesale energy costs and does not separate transmission and distribution components for network costs in Tasmania.</t>
  </si>
  <si>
    <t xml:space="preserve">The additional sources are (CME 2016) and (TasNetworks nd). The CME report is used only to derive a ratio between the wholesale energy and retailing components. The CME report provides this breakdown for all states. We have weighted the NEM states ratios by state population to create a national ratio of wholesale energy and retailing components. Note that this is used only to separate the AEMC combined figure into components, ie the CME figures for metering and network costs are not used. </t>
  </si>
  <si>
    <t>The above figures are derived from subsequent tabs on this worksheet.</t>
  </si>
  <si>
    <t xml:space="preserve">The TasNetworks reference is used as the source of the proportions of all components for Tasmania. These proportions are then applied to the AEMC c/kWh figure. Because the TasNetworks breakdown does not itemise environmental program costs these show as zero. </t>
  </si>
  <si>
    <t>References</t>
  </si>
  <si>
    <t xml:space="preserve">AEMC 2015d, 2015 Residential Electricity Price Trends, Final Report, AEMC 4 Dec 2015
http://www.aemc.gov.au/Markets-Reviews-Advice/2015-Residential-Electricity-Price-Trends  
CME 2016, Australia’s retail electricity markets: who is serving whom?, Carbon and Energy Markets, Aug 2016
http://cmeaustralia.com.au/wp-content/uploads/2013/09/160815-FINAL-getup-retail-report-.pdf 
TasNetworks nd, Improving the way we price our services, TasNetworks, no date  
http://www.tasnetworks.com.au/TasNetworks/media/pdf/customer-engagement/TAS0107_Tariff-Pricing-Information-Brochure.pdf 
</t>
  </si>
  <si>
    <t>In reducing all the many variables of a residential electricity bill to a single c/kWh figure there are necessarily a lot of assumptions. Both the AEMC and CME reports have detailed methodology sections. The main points to be aware of are:
• Residential bills are based on the most common household type (usually 2 people, no swimming pool) and not average of all consumers.
• Fixed charges are incorporated into the c/kWh figure. This methodology was used by AEMC in accordance with terms of reference provided by the COAG Energy Council (see AEMC 2015d p.224)
• As a result the derived c/kWh figures are unlikely to bear a close relationship to the consumption tariffs in c/kWh for that jurisdiction.</t>
  </si>
  <si>
    <t>Based on AEMC Residential Electricity Price Trends - base figures 2014-2015</t>
  </si>
  <si>
    <t>NEM supply chain components of residential electricity bills</t>
  </si>
  <si>
    <t>http://backroad.com.au/?page_id=97</t>
  </si>
  <si>
    <t>and</t>
  </si>
  <si>
    <t xml:space="preserve">These figures were derived as an input to the determination of a fair price for distributed generation. </t>
  </si>
  <si>
    <t>For more information on this project see:</t>
  </si>
  <si>
    <t>Backroad Connections Pty Ltd, 28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</si>
</sst>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_-* #,##0_-;\-* #,##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9"/>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6"/>
      <color theme="1"/>
      <name val="Calibri"/>
      <family val="2"/>
      <scheme val="minor"/>
    </font>
    <font>
      <b/>
      <sz val="13"/>
      <color theme="1"/>
      <name val="Calibri"/>
      <family val="2"/>
      <scheme val="minor"/>
    </font>
    <font>
      <u/>
      <sz val="8"/>
      <color theme="1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0" fillId="0" borderId="0" xfId="0" applyAlignment="1">
      <alignment horizontal="right"/>
    </xf>
    <xf numFmtId="0" fontId="2" fillId="2" borderId="0" xfId="0" applyFont="1" applyFill="1"/>
    <xf numFmtId="2" fontId="2" fillId="2" borderId="0" xfId="0" applyNumberFormat="1" applyFont="1" applyFill="1"/>
    <xf numFmtId="0" fontId="2" fillId="3" borderId="0" xfId="0" applyFont="1" applyFill="1"/>
    <xf numFmtId="2" fontId="2" fillId="3" borderId="0" xfId="0" applyNumberFormat="1" applyFont="1" applyFill="1"/>
    <xf numFmtId="0" fontId="0" fillId="3" borderId="0" xfId="0" applyFill="1"/>
    <xf numFmtId="2" fontId="0" fillId="3" borderId="0" xfId="0" applyNumberFormat="1" applyFill="1"/>
    <xf numFmtId="164" fontId="0" fillId="3" borderId="0" xfId="1" applyNumberFormat="1" applyFont="1" applyFill="1"/>
    <xf numFmtId="0" fontId="2" fillId="4" borderId="0" xfId="0" applyFont="1" applyFill="1"/>
    <xf numFmtId="2" fontId="2" fillId="4" borderId="0" xfId="0" applyNumberFormat="1" applyFont="1" applyFill="1"/>
    <xf numFmtId="0" fontId="0" fillId="4" borderId="0" xfId="0" applyFill="1"/>
    <xf numFmtId="2" fontId="0" fillId="4" borderId="0" xfId="0" applyNumberFormat="1" applyFill="1"/>
    <xf numFmtId="0" fontId="2" fillId="5" borderId="0" xfId="0" applyFont="1" applyFill="1"/>
    <xf numFmtId="2" fontId="2" fillId="5" borderId="0" xfId="0" applyNumberFormat="1" applyFont="1" applyFill="1"/>
    <xf numFmtId="0" fontId="0" fillId="5" borderId="0" xfId="0" applyFill="1"/>
    <xf numFmtId="2" fontId="0" fillId="5" borderId="0" xfId="0" applyNumberFormat="1" applyFill="1"/>
    <xf numFmtId="1" fontId="2" fillId="5" borderId="0" xfId="0" applyNumberFormat="1" applyFont="1" applyFill="1"/>
    <xf numFmtId="1" fontId="0" fillId="5" borderId="0" xfId="0" applyNumberFormat="1" applyFill="1"/>
    <xf numFmtId="1" fontId="2" fillId="3" borderId="0" xfId="0" applyNumberFormat="1" applyFont="1" applyFill="1"/>
    <xf numFmtId="1" fontId="0" fillId="3" borderId="0" xfId="0" applyNumberFormat="1" applyFill="1"/>
    <xf numFmtId="1" fontId="2" fillId="4" borderId="0" xfId="0" applyNumberFormat="1" applyFont="1" applyFill="1"/>
    <xf numFmtId="1" fontId="0" fillId="4" borderId="0" xfId="0" applyNumberFormat="1" applyFill="1"/>
    <xf numFmtId="1" fontId="2" fillId="2" borderId="0" xfId="0" applyNumberFormat="1" applyFont="1" applyFill="1"/>
    <xf numFmtId="164" fontId="2" fillId="3" borderId="0" xfId="1" applyNumberFormat="1" applyFont="1" applyFill="1"/>
    <xf numFmtId="0" fontId="3" fillId="0" borderId="0" xfId="2"/>
    <xf numFmtId="0" fontId="4" fillId="0" borderId="0" xfId="0" applyFont="1"/>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xf numFmtId="0" fontId="0" fillId="0" borderId="2" xfId="0" applyBorder="1"/>
    <xf numFmtId="9" fontId="0" fillId="0" borderId="0" xfId="1" applyFont="1"/>
    <xf numFmtId="9" fontId="0" fillId="0" borderId="0" xfId="0" applyNumberFormat="1"/>
    <xf numFmtId="165" fontId="0" fillId="0" borderId="0" xfId="3" applyNumberFormat="1" applyFont="1"/>
    <xf numFmtId="165" fontId="0" fillId="0" borderId="0" xfId="0" applyNumberFormat="1"/>
    <xf numFmtId="165" fontId="0" fillId="0" borderId="0" xfId="1" applyNumberFormat="1" applyFont="1"/>
    <xf numFmtId="0" fontId="2" fillId="0" borderId="1" xfId="0" applyFont="1" applyBorder="1"/>
    <xf numFmtId="0" fontId="0" fillId="0" borderId="0" xfId="0"/>
    <xf numFmtId="2" fontId="0" fillId="0" borderId="0" xfId="0" applyNumberFormat="1"/>
    <xf numFmtId="164" fontId="0" fillId="0" borderId="0" xfId="1" applyNumberFormat="1" applyFont="1"/>
    <xf numFmtId="0" fontId="0" fillId="6" borderId="0" xfId="0" applyFill="1"/>
    <xf numFmtId="164" fontId="0" fillId="6" borderId="0" xfId="1" applyNumberFormat="1" applyFont="1" applyFill="1"/>
    <xf numFmtId="164" fontId="0" fillId="0" borderId="2" xfId="1" applyNumberFormat="1" applyFont="1" applyBorder="1"/>
    <xf numFmtId="2" fontId="0" fillId="0" borderId="2" xfId="0" applyNumberFormat="1" applyBorder="1"/>
    <xf numFmtId="2" fontId="0" fillId="0" borderId="2" xfId="1" applyNumberFormat="1" applyFont="1" applyBorder="1"/>
    <xf numFmtId="2" fontId="0" fillId="0" borderId="2" xfId="4" applyNumberFormat="1" applyFont="1" applyBorder="1"/>
    <xf numFmtId="10" fontId="0" fillId="0" borderId="0" xfId="0" applyNumberFormat="1"/>
    <xf numFmtId="0" fontId="0" fillId="0" borderId="1" xfId="0" applyBorder="1" applyAlignment="1">
      <alignment horizontal="right"/>
    </xf>
    <xf numFmtId="0" fontId="0" fillId="6" borderId="1" xfId="0" applyFill="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0" fillId="0" borderId="0" xfId="0"/>
    <xf numFmtId="9" fontId="0" fillId="0" borderId="2" xfId="1" applyFont="1" applyBorder="1"/>
    <xf numFmtId="164" fontId="8" fillId="0" borderId="0" xfId="1" applyNumberFormat="1" applyFont="1"/>
    <xf numFmtId="9" fontId="0" fillId="6" borderId="0" xfId="1" applyFont="1" applyFill="1"/>
    <xf numFmtId="0" fontId="9" fillId="0" borderId="0" xfId="0" applyFont="1"/>
    <xf numFmtId="0" fontId="0" fillId="0" borderId="0" xfId="0"/>
    <xf numFmtId="164" fontId="1" fillId="3" borderId="0" xfId="1" applyNumberFormat="1" applyFont="1" applyFill="1"/>
    <xf numFmtId="0" fontId="0" fillId="0" borderId="0" xfId="0"/>
    <xf numFmtId="0" fontId="5" fillId="0" borderId="0" xfId="0" applyFont="1" applyAlignment="1">
      <alignment horizontal="left" wrapText="1"/>
    </xf>
    <xf numFmtId="0" fontId="0" fillId="0" borderId="0" xfId="0"/>
    <xf numFmtId="0" fontId="0" fillId="0" borderId="0" xfId="0" applyBorder="1"/>
    <xf numFmtId="164" fontId="0" fillId="0" borderId="0" xfId="1" applyNumberFormat="1" applyFont="1" applyBorder="1"/>
    <xf numFmtId="0" fontId="2" fillId="0" borderId="0" xfId="0" applyFont="1" applyFill="1"/>
    <xf numFmtId="2" fontId="2" fillId="0" borderId="0" xfId="0" applyNumberFormat="1" applyFont="1" applyFill="1"/>
    <xf numFmtId="1" fontId="2" fillId="0" borderId="0" xfId="0" applyNumberFormat="1" applyFont="1" applyFill="1"/>
    <xf numFmtId="0" fontId="0" fillId="0" borderId="0" xfId="0"/>
    <xf numFmtId="0" fontId="0" fillId="0" borderId="0" xfId="0" applyFill="1" applyAlignment="1">
      <alignment horizontal="left" wrapText="1"/>
    </xf>
    <xf numFmtId="0" fontId="10" fillId="0" borderId="0" xfId="0" applyFont="1"/>
    <xf numFmtId="0" fontId="0" fillId="0" borderId="0" xfId="0"/>
    <xf numFmtId="0" fontId="0" fillId="0" borderId="0" xfId="0" applyAlignment="1">
      <alignment horizontal="left" wrapText="1"/>
    </xf>
    <xf numFmtId="0" fontId="0" fillId="0" borderId="0" xfId="0" applyAlignment="1">
      <alignment horizontal="left"/>
    </xf>
    <xf numFmtId="0" fontId="0" fillId="0" borderId="0" xfId="0"/>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6" borderId="0" xfId="0" applyFill="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1" fillId="0" borderId="0" xfId="2" applyFont="1" applyAlignment="1">
      <alignment horizontal="left"/>
    </xf>
    <xf numFmtId="0" fontId="0" fillId="0" borderId="0" xfId="0" applyAlignment="1">
      <alignment horizontal="left"/>
    </xf>
    <xf numFmtId="0" fontId="0" fillId="0" borderId="0" xfId="0"/>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2" defaultPivotStyle="PivotStyleLight16"/>
  <colors>
    <mruColors>
      <color rgb="FFE5DA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ackroad.com.au/?page_id=97" TargetMode="External"/><Relationship Id="rId2" Type="http://schemas.openxmlformats.org/officeDocument/2006/relationships/hyperlink" Target="http://www.solarcitizens.org.au/fairprice" TargetMode="External"/><Relationship Id="rId1" Type="http://schemas.openxmlformats.org/officeDocument/2006/relationships/hyperlink" Target="mailto:jack.gilding@backroad.com.a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asnetworks.com.au/TasNetworks/media/pdf/customer-engagement/TAS0107_Tariff-Pricing-Information-Brochure.pdf" TargetMode="External"/><Relationship Id="rId1" Type="http://schemas.openxmlformats.org/officeDocument/2006/relationships/hyperlink" Target="http://www.aemc.gov.au/Markets-Reviews-Advice/2015-Residential-Electricity-Price-Trend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meaustralia.com.au/wp-content/uploads/2013/09/160815-FINAL-getup-retail-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workbookViewId="0">
      <selection sqref="A1:H1"/>
    </sheetView>
  </sheetViews>
  <sheetFormatPr defaultRowHeight="14.5" x14ac:dyDescent="0.35"/>
  <cols>
    <col min="1" max="1" width="13.08984375" bestFit="1" customWidth="1"/>
    <col min="16" max="16" width="9.1796875" customWidth="1"/>
  </cols>
  <sheetData>
    <row r="1" spans="1:9" ht="21" x14ac:dyDescent="0.5">
      <c r="A1" s="57" t="s">
        <v>101</v>
      </c>
    </row>
    <row r="2" spans="1:9" s="75" customFormat="1" x14ac:dyDescent="0.35">
      <c r="A2" s="75" t="s">
        <v>106</v>
      </c>
    </row>
    <row r="3" spans="1:9" x14ac:dyDescent="0.35">
      <c r="A3" t="s">
        <v>100</v>
      </c>
    </row>
    <row r="4" spans="1:9" s="71" customFormat="1" x14ac:dyDescent="0.35"/>
    <row r="5" spans="1:9" s="74" customFormat="1" ht="28.5" customHeight="1" x14ac:dyDescent="0.35">
      <c r="A5" s="76" t="s">
        <v>104</v>
      </c>
      <c r="B5" s="76"/>
      <c r="C5" s="76"/>
      <c r="D5" s="76"/>
      <c r="E5" s="76"/>
      <c r="F5" s="76"/>
      <c r="G5" s="76"/>
      <c r="H5" s="76"/>
      <c r="I5" s="76"/>
    </row>
    <row r="6" spans="1:9" s="74" customFormat="1" ht="16" customHeight="1" x14ac:dyDescent="0.35">
      <c r="A6" s="73" t="s">
        <v>105</v>
      </c>
      <c r="B6" s="72"/>
      <c r="C6" s="72"/>
      <c r="D6" s="72"/>
      <c r="E6" s="72"/>
      <c r="F6" s="72"/>
      <c r="G6" s="72"/>
      <c r="H6" s="72"/>
      <c r="I6" s="72"/>
    </row>
    <row r="7" spans="1:9" s="74" customFormat="1" x14ac:dyDescent="0.35">
      <c r="A7" s="25" t="s">
        <v>79</v>
      </c>
      <c r="E7" s="74" t="s">
        <v>103</v>
      </c>
    </row>
    <row r="8" spans="1:9" s="74" customFormat="1" x14ac:dyDescent="0.35">
      <c r="A8" s="25" t="s">
        <v>102</v>
      </c>
    </row>
    <row r="9" spans="1:9" s="74" customFormat="1" x14ac:dyDescent="0.35"/>
    <row r="10" spans="1:9" ht="15.5" x14ac:dyDescent="0.35">
      <c r="A10" s="26" t="s">
        <v>70</v>
      </c>
    </row>
    <row r="11" spans="1:9" x14ac:dyDescent="0.35">
      <c r="B11" s="49" t="s">
        <v>39</v>
      </c>
      <c r="C11" s="49" t="s">
        <v>40</v>
      </c>
      <c r="D11" s="49" t="s">
        <v>41</v>
      </c>
      <c r="E11" s="49" t="s">
        <v>42</v>
      </c>
      <c r="F11" s="49" t="s">
        <v>43</v>
      </c>
      <c r="G11" s="52" t="s">
        <v>69</v>
      </c>
      <c r="H11" s="52" t="s">
        <v>55</v>
      </c>
    </row>
    <row r="12" spans="1:9" x14ac:dyDescent="0.35">
      <c r="A12" s="39" t="s">
        <v>66</v>
      </c>
      <c r="B12" s="41">
        <f>SaGenPercent</f>
        <v>0.13778450717983784</v>
      </c>
      <c r="C12" s="41">
        <f>QldGenPercent</f>
        <v>0.12600860677783754</v>
      </c>
      <c r="D12" s="41">
        <f>NswGenPercent</f>
        <v>0.20668843308857399</v>
      </c>
      <c r="E12" s="41">
        <f>VicGenPercent</f>
        <v>0.17623067024362585</v>
      </c>
      <c r="F12" s="41">
        <f>ActGenPercent</f>
        <v>0.25371242303513214</v>
      </c>
      <c r="G12" s="41">
        <f>TasGenPercent</f>
        <v>0.24</v>
      </c>
      <c r="H12" s="41">
        <f>NemGenPercent</f>
        <v>0.17692611076338874</v>
      </c>
    </row>
    <row r="13" spans="1:9" x14ac:dyDescent="0.35">
      <c r="A13" s="39" t="s">
        <v>63</v>
      </c>
      <c r="B13" s="55">
        <f>SaTraPercent</f>
        <v>8.593012275731822E-2</v>
      </c>
      <c r="C13" s="55">
        <f>QldTraPercent</f>
        <v>8.4689349112426038E-2</v>
      </c>
      <c r="D13" s="41">
        <f>NswTraPercent</f>
        <v>5.8471292708700245E-2</v>
      </c>
      <c r="E13" s="41">
        <f>VicTraPercent</f>
        <v>4.9019607843137254E-2</v>
      </c>
      <c r="F13" s="41">
        <f>ActTraPercent</f>
        <v>0.10956175298804781</v>
      </c>
      <c r="G13" s="41">
        <f>TasTraPercent</f>
        <v>0.15</v>
      </c>
      <c r="H13" s="41">
        <f>NemTraPercent</f>
        <v>6.2674094707520889E-2</v>
      </c>
    </row>
    <row r="14" spans="1:9" x14ac:dyDescent="0.35">
      <c r="A14" s="39" t="s">
        <v>64</v>
      </c>
      <c r="B14" s="55">
        <f>SaDisPercent</f>
        <v>0.42272584198929808</v>
      </c>
      <c r="C14" s="55">
        <f>QldDisPercent</f>
        <v>0.49186390532544383</v>
      </c>
      <c r="D14" s="41">
        <f>NswDisPercent</f>
        <v>0.37935892920042263</v>
      </c>
      <c r="E14" s="41">
        <f>VicDisPercent</f>
        <v>0.37792536369386459</v>
      </c>
      <c r="F14" s="41">
        <f>ActDisPercent</f>
        <v>0.31175298804780871</v>
      </c>
      <c r="G14" s="41">
        <f>TasDisPercent</f>
        <v>0.44</v>
      </c>
      <c r="H14" s="41">
        <f>NemDisPercent</f>
        <v>0.40842618384401119</v>
      </c>
    </row>
    <row r="15" spans="1:9" x14ac:dyDescent="0.35">
      <c r="A15" s="39" t="s">
        <v>34</v>
      </c>
      <c r="B15" s="55">
        <f>SaRetPercent</f>
        <v>0.24276317931685717</v>
      </c>
      <c r="C15" s="55">
        <f>QldRetPercent</f>
        <v>0.22051506186121572</v>
      </c>
      <c r="D15" s="41">
        <f>NswRetPercent</f>
        <v>0.30511149646408542</v>
      </c>
      <c r="E15" s="41">
        <f>VicRetPercent</f>
        <v>0.33483827346288908</v>
      </c>
      <c r="F15" s="41">
        <f>ActRetPercent</f>
        <v>0.21142701919594348</v>
      </c>
      <c r="G15" s="41">
        <f>TasRetPercent</f>
        <v>0.17</v>
      </c>
      <c r="H15" s="41">
        <f>NemRetPercent</f>
        <v>0.28964770539260015</v>
      </c>
    </row>
    <row r="16" spans="1:9" x14ac:dyDescent="0.35">
      <c r="A16" s="39" t="s">
        <v>36</v>
      </c>
      <c r="B16" s="41">
        <f>SaEnvPercent</f>
        <v>0.1107963487566887</v>
      </c>
      <c r="C16" s="41">
        <f>QldEnvPercent</f>
        <v>7.6923076923076927E-2</v>
      </c>
      <c r="D16" s="41">
        <f>NswEnvPercent</f>
        <v>5.0369848538217687E-2</v>
      </c>
      <c r="E16" s="41">
        <f>VicEnvPercent</f>
        <v>6.1986084756483234E-2</v>
      </c>
      <c r="F16" s="41">
        <f>ActEnvPercent</f>
        <v>0.11354581673306773</v>
      </c>
      <c r="G16" s="41">
        <f>TasEnvPercent</f>
        <v>0</v>
      </c>
      <c r="H16" s="41">
        <f>NemEnvPercent</f>
        <v>6.2325905292479111E-2</v>
      </c>
    </row>
    <row r="17" spans="1:9" x14ac:dyDescent="0.35">
      <c r="B17" s="44">
        <f>SUM(B12:B16)</f>
        <v>1</v>
      </c>
      <c r="C17" s="44">
        <f t="shared" ref="C17:H17" si="0">SUM(C12:C16)</f>
        <v>1</v>
      </c>
      <c r="D17" s="44">
        <f t="shared" si="0"/>
        <v>1</v>
      </c>
      <c r="E17" s="44">
        <f t="shared" si="0"/>
        <v>1</v>
      </c>
      <c r="F17" s="44">
        <f t="shared" si="0"/>
        <v>0.99999999999999989</v>
      </c>
      <c r="G17" s="44">
        <f t="shared" si="0"/>
        <v>1</v>
      </c>
      <c r="H17" s="44">
        <f t="shared" si="0"/>
        <v>1.0000000000000002</v>
      </c>
    </row>
    <row r="19" spans="1:9" s="53" customFormat="1" ht="15.5" x14ac:dyDescent="0.35">
      <c r="A19" s="26" t="s">
        <v>71</v>
      </c>
    </row>
    <row r="20" spans="1:9" s="53" customFormat="1" x14ac:dyDescent="0.35">
      <c r="B20" s="53">
        <f>SaTotalckWh</f>
        <v>31.77</v>
      </c>
      <c r="C20" s="53">
        <f>QldTotalckWh</f>
        <v>27.04</v>
      </c>
      <c r="D20" s="53">
        <f>NswTotalckWh</f>
        <v>28.39</v>
      </c>
      <c r="E20" s="53">
        <f>VicTotalckWh</f>
        <v>31.62</v>
      </c>
      <c r="F20" s="62">
        <f>ActTotalckWh</f>
        <v>20.080000000000002</v>
      </c>
      <c r="G20" s="53">
        <f>TasTotalckWh</f>
        <v>21.29</v>
      </c>
      <c r="H20" s="53">
        <f>NemTotalckWh</f>
        <v>28.72</v>
      </c>
    </row>
    <row r="21" spans="1:9" x14ac:dyDescent="0.35">
      <c r="A21" s="39"/>
    </row>
    <row r="22" spans="1:9" ht="15.5" x14ac:dyDescent="0.35">
      <c r="A22" s="26" t="s">
        <v>78</v>
      </c>
      <c r="B22" s="39"/>
      <c r="C22" s="39"/>
      <c r="D22" s="39"/>
      <c r="E22" s="39"/>
      <c r="F22" s="39"/>
      <c r="G22" s="39"/>
      <c r="H22" s="39"/>
    </row>
    <row r="23" spans="1:9" x14ac:dyDescent="0.35">
      <c r="A23" s="39"/>
      <c r="B23" s="49" t="s">
        <v>39</v>
      </c>
      <c r="C23" s="49" t="s">
        <v>40</v>
      </c>
      <c r="D23" s="49" t="s">
        <v>41</v>
      </c>
      <c r="E23" s="49" t="s">
        <v>42</v>
      </c>
      <c r="F23" s="49" t="s">
        <v>43</v>
      </c>
      <c r="G23" s="52" t="s">
        <v>69</v>
      </c>
      <c r="H23" s="52" t="s">
        <v>55</v>
      </c>
    </row>
    <row r="24" spans="1:9" x14ac:dyDescent="0.35">
      <c r="A24" s="39" t="s">
        <v>66</v>
      </c>
      <c r="B24" s="40">
        <f>SaGenPercent*SaTotalckWh</f>
        <v>4.3774137931034485</v>
      </c>
      <c r="C24" s="40">
        <f>QldGenPercent*QldTotalckWh</f>
        <v>3.4072727272727268</v>
      </c>
      <c r="D24" s="40">
        <f>NswGenPercent*NswTotalckWh</f>
        <v>5.8678846153846154</v>
      </c>
      <c r="E24" s="40">
        <f>VicGenPercent*VicTotalckWh</f>
        <v>5.5724137931034496</v>
      </c>
      <c r="F24" s="40">
        <f>ActGenPercent*ActTotalckWh</f>
        <v>5.0945454545454538</v>
      </c>
      <c r="G24" s="40">
        <f>TasTotalckWh*TasGenPercent</f>
        <v>5.1095999999999995</v>
      </c>
      <c r="H24" s="40">
        <f>NemTotalckWh*NemGenPercent</f>
        <v>5.0813179011245246</v>
      </c>
    </row>
    <row r="25" spans="1:9" x14ac:dyDescent="0.35">
      <c r="A25" s="39" t="s">
        <v>63</v>
      </c>
      <c r="B25" s="40">
        <f>SaTraPercent*SaTotalckWh</f>
        <v>2.73</v>
      </c>
      <c r="C25" s="40">
        <f>QldTraPercent*QldTotalckWh</f>
        <v>2.29</v>
      </c>
      <c r="D25" s="40">
        <f>NswTraPercent*NswTotalckWh</f>
        <v>1.66</v>
      </c>
      <c r="E25" s="40">
        <f>VicTraPercent*VicTotalckWh</f>
        <v>1.55</v>
      </c>
      <c r="F25" s="40">
        <f>ActTraPercent*ActTotalckWh</f>
        <v>2.2000000000000002</v>
      </c>
      <c r="G25" s="40">
        <f>TasTotalckWh*TasTraPercent</f>
        <v>3.1934999999999998</v>
      </c>
      <c r="H25" s="40">
        <f>NemTotalckWh*NemTraPercent</f>
        <v>1.7999999999999998</v>
      </c>
    </row>
    <row r="26" spans="1:9" x14ac:dyDescent="0.35">
      <c r="A26" s="39" t="s">
        <v>64</v>
      </c>
      <c r="B26" s="40">
        <f>SaDisPercent*SaTotalckWh</f>
        <v>13.43</v>
      </c>
      <c r="C26" s="40">
        <f>QldDisPercent*QldTotalckWh</f>
        <v>13.3</v>
      </c>
      <c r="D26" s="40">
        <f>NswDisPercent*NswTotalckWh</f>
        <v>10.77</v>
      </c>
      <c r="E26" s="40">
        <f>VicDisPercent*VicTotalckWh</f>
        <v>11.95</v>
      </c>
      <c r="F26" s="40">
        <f>ActDisPercent*ActTotalckWh</f>
        <v>6.26</v>
      </c>
      <c r="G26" s="40">
        <f>TasTotalckWh*TasDisPercent</f>
        <v>9.3675999999999995</v>
      </c>
      <c r="H26" s="40">
        <f>NemTotalckWh*NemDisPercent</f>
        <v>11.73</v>
      </c>
    </row>
    <row r="27" spans="1:9" x14ac:dyDescent="0.35">
      <c r="A27" s="39" t="s">
        <v>34</v>
      </c>
      <c r="B27" s="40">
        <f>SaRetPercent*SaTotalckWh</f>
        <v>7.7125862068965523</v>
      </c>
      <c r="C27" s="40">
        <f>QldRetPercent*QldTotalckWh</f>
        <v>5.9627272727272729</v>
      </c>
      <c r="D27" s="40">
        <f>NswRetPercent*NswTotalckWh</f>
        <v>8.6621153846153849</v>
      </c>
      <c r="E27" s="40">
        <f>VicRetPercent*VicTotalckWh</f>
        <v>10.587586206896553</v>
      </c>
      <c r="F27" s="40">
        <f>ActRetPercent*ActTotalckWh</f>
        <v>4.2454545454545451</v>
      </c>
      <c r="G27" s="40">
        <f>TasTotalckWh*TasRetPercent</f>
        <v>3.6193</v>
      </c>
      <c r="H27" s="40">
        <f>NemTotalckWh*NemRetPercent</f>
        <v>8.3186820988754757</v>
      </c>
    </row>
    <row r="28" spans="1:9" x14ac:dyDescent="0.35">
      <c r="A28" s="39" t="s">
        <v>36</v>
      </c>
      <c r="B28" s="40">
        <f>SaEnvPercent*SaTotalckWh</f>
        <v>3.52</v>
      </c>
      <c r="C28" s="40">
        <f>QldEnvPercent*QldTotalckWh</f>
        <v>2.08</v>
      </c>
      <c r="D28" s="40">
        <f>NswEnvPercent*NswTotalckWh</f>
        <v>1.4300000000000002</v>
      </c>
      <c r="E28" s="40">
        <f>VicEnvPercent*VicTotalckWh</f>
        <v>1.96</v>
      </c>
      <c r="F28" s="40">
        <f>ActEnvPercent*ActTotalckWh</f>
        <v>2.2800000000000002</v>
      </c>
      <c r="G28" s="40">
        <f>TasTotalckWh*TasEnvPercent</f>
        <v>0</v>
      </c>
      <c r="H28" s="40">
        <f>NemTotalckWh*NemEnvPercent</f>
        <v>1.79</v>
      </c>
    </row>
    <row r="29" spans="1:9" x14ac:dyDescent="0.35">
      <c r="A29" s="39"/>
      <c r="B29" s="45">
        <f>SUM(B24:B28)</f>
        <v>31.77</v>
      </c>
      <c r="C29" s="45">
        <f t="shared" ref="C29" si="1">SUM(C24:C28)</f>
        <v>27.04</v>
      </c>
      <c r="D29" s="45">
        <f t="shared" ref="D29" si="2">SUM(D24:D28)</f>
        <v>28.39</v>
      </c>
      <c r="E29" s="45">
        <f t="shared" ref="E29" si="3">SUM(E24:E28)</f>
        <v>31.620000000000005</v>
      </c>
      <c r="F29" s="45">
        <f t="shared" ref="F29" si="4">SUM(F24:F28)</f>
        <v>20.080000000000002</v>
      </c>
      <c r="G29" s="45">
        <f t="shared" ref="G29" si="5">SUM(G24:G28)</f>
        <v>21.289999999999996</v>
      </c>
      <c r="H29" s="45">
        <f t="shared" ref="H29" si="6">SUM(H24:H28)</f>
        <v>28.72</v>
      </c>
    </row>
    <row r="31" spans="1:9" s="68" customFormat="1" x14ac:dyDescent="0.35"/>
    <row r="32" spans="1:9" s="68" customFormat="1" ht="78.5" customHeight="1" x14ac:dyDescent="0.35">
      <c r="A32" s="77" t="s">
        <v>93</v>
      </c>
      <c r="B32" s="77"/>
      <c r="C32" s="77"/>
      <c r="D32" s="77"/>
      <c r="E32" s="77"/>
      <c r="F32" s="77"/>
      <c r="G32" s="77"/>
      <c r="H32" s="77"/>
      <c r="I32" s="77"/>
    </row>
    <row r="33" spans="1:9" s="68" customFormat="1" ht="89" customHeight="1" x14ac:dyDescent="0.35">
      <c r="A33" s="76" t="s">
        <v>94</v>
      </c>
      <c r="B33" s="76"/>
      <c r="C33" s="76"/>
      <c r="D33" s="76"/>
      <c r="E33" s="76"/>
      <c r="F33" s="76"/>
      <c r="G33" s="76"/>
      <c r="H33" s="76"/>
      <c r="I33" s="76"/>
    </row>
    <row r="34" spans="1:9" s="68" customFormat="1" ht="50" customHeight="1" x14ac:dyDescent="0.35">
      <c r="A34" s="76" t="s">
        <v>96</v>
      </c>
      <c r="B34" s="76"/>
      <c r="C34" s="76"/>
      <c r="D34" s="76"/>
      <c r="E34" s="76"/>
      <c r="F34" s="76"/>
      <c r="G34" s="76"/>
      <c r="H34" s="76"/>
      <c r="I34" s="76"/>
    </row>
    <row r="35" spans="1:9" s="68" customFormat="1" ht="141.5" customHeight="1" x14ac:dyDescent="0.35">
      <c r="A35" s="76" t="s">
        <v>99</v>
      </c>
      <c r="B35" s="76"/>
      <c r="C35" s="76"/>
      <c r="D35" s="76"/>
      <c r="E35" s="76"/>
      <c r="F35" s="76"/>
      <c r="G35" s="76"/>
      <c r="H35" s="76"/>
      <c r="I35" s="76"/>
    </row>
    <row r="37" spans="1:9" x14ac:dyDescent="0.35">
      <c r="A37" t="s">
        <v>95</v>
      </c>
    </row>
    <row r="39" spans="1:9" x14ac:dyDescent="0.35">
      <c r="A39" t="s">
        <v>80</v>
      </c>
    </row>
    <row r="40" spans="1:9" x14ac:dyDescent="0.35">
      <c r="A40" s="25" t="s">
        <v>81</v>
      </c>
    </row>
    <row r="42" spans="1:9" ht="15.5" x14ac:dyDescent="0.35">
      <c r="A42" s="26" t="s">
        <v>97</v>
      </c>
    </row>
    <row r="43" spans="1:9" ht="163" customHeight="1" x14ac:dyDescent="0.35">
      <c r="A43" s="76" t="s">
        <v>98</v>
      </c>
      <c r="B43" s="76"/>
      <c r="C43" s="76"/>
      <c r="D43" s="76"/>
      <c r="E43" s="76"/>
      <c r="F43" s="76"/>
      <c r="G43" s="76"/>
      <c r="H43" s="76"/>
      <c r="I43" s="76"/>
    </row>
  </sheetData>
  <mergeCells count="6">
    <mergeCell ref="A5:I5"/>
    <mergeCell ref="A43:I43"/>
    <mergeCell ref="A32:I32"/>
    <mergeCell ref="A33:I33"/>
    <mergeCell ref="A34:I34"/>
    <mergeCell ref="A35:I35"/>
  </mergeCells>
  <hyperlinks>
    <hyperlink ref="A40" r:id="rId1"/>
    <hyperlink ref="A7" r:id="rId2"/>
    <hyperlink ref="A8" r:id="rId3"/>
  </hyperlinks>
  <pageMargins left="0.7" right="0.7" top="0.75" bottom="0.75" header="0.3" footer="0.3"/>
  <pageSetup paperSize="9" fitToHeight="0" orientation="portrait" horizontalDpi="0"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9"/>
  <sheetViews>
    <sheetView zoomScale="150" zoomScaleNormal="150" workbookViewId="0">
      <pane ySplit="1" topLeftCell="A2" activePane="bottomLeft" state="frozen"/>
      <selection pane="bottomLeft" activeCell="A2" sqref="A2:H2"/>
    </sheetView>
  </sheetViews>
  <sheetFormatPr defaultRowHeight="14.5" x14ac:dyDescent="0.35"/>
  <cols>
    <col min="1" max="1" width="21.26953125" customWidth="1"/>
    <col min="6" max="6" width="13.08984375" bestFit="1" customWidth="1"/>
    <col min="7" max="7" width="10.6328125" bestFit="1" customWidth="1"/>
  </cols>
  <sheetData>
    <row r="1" spans="1:8" s="60" customFormat="1" x14ac:dyDescent="0.35">
      <c r="B1" s="1" t="s">
        <v>13</v>
      </c>
      <c r="C1" s="1" t="s">
        <v>14</v>
      </c>
      <c r="D1" s="1" t="s">
        <v>15</v>
      </c>
      <c r="E1" s="1" t="s">
        <v>16</v>
      </c>
    </row>
    <row r="2" spans="1:8" ht="28" customHeight="1" x14ac:dyDescent="0.35">
      <c r="A2" s="76" t="s">
        <v>1</v>
      </c>
      <c r="B2" s="76"/>
      <c r="C2" s="76"/>
      <c r="D2" s="76"/>
      <c r="E2" s="76"/>
      <c r="F2" s="76"/>
      <c r="G2" s="76"/>
      <c r="H2" s="76"/>
    </row>
    <row r="3" spans="1:8" x14ac:dyDescent="0.35">
      <c r="A3" s="25" t="s">
        <v>25</v>
      </c>
    </row>
    <row r="4" spans="1:8" x14ac:dyDescent="0.35">
      <c r="A4" t="s">
        <v>82</v>
      </c>
    </row>
    <row r="5" spans="1:8" x14ac:dyDescent="0.35">
      <c r="A5" t="s">
        <v>30</v>
      </c>
    </row>
    <row r="6" spans="1:8" s="62" customFormat="1" x14ac:dyDescent="0.35"/>
    <row r="7" spans="1:8" x14ac:dyDescent="0.35">
      <c r="A7" s="79" t="s">
        <v>65</v>
      </c>
      <c r="B7" s="80"/>
      <c r="C7" s="80"/>
      <c r="D7" s="80"/>
      <c r="E7" s="81"/>
      <c r="F7" s="79" t="s">
        <v>84</v>
      </c>
      <c r="G7" s="80"/>
      <c r="H7" s="81"/>
    </row>
    <row r="8" spans="1:8" ht="15.5" x14ac:dyDescent="0.35">
      <c r="A8" s="26" t="s">
        <v>0</v>
      </c>
      <c r="B8" s="1" t="s">
        <v>13</v>
      </c>
      <c r="C8" s="1" t="s">
        <v>14</v>
      </c>
      <c r="D8" s="1" t="s">
        <v>15</v>
      </c>
      <c r="E8" s="1" t="s">
        <v>16</v>
      </c>
      <c r="G8" s="41"/>
    </row>
    <row r="9" spans="1:8" x14ac:dyDescent="0.35">
      <c r="A9" s="13" t="s">
        <v>2</v>
      </c>
      <c r="B9" s="14">
        <f>SUM(B10:B13)</f>
        <v>1.79</v>
      </c>
      <c r="C9" s="17">
        <f>SUM(C10:C13)</f>
        <v>94</v>
      </c>
      <c r="D9" s="13"/>
      <c r="E9" s="13"/>
      <c r="F9" t="s">
        <v>36</v>
      </c>
      <c r="G9" s="41">
        <f>B9/B21</f>
        <v>6.2325905292479111E-2</v>
      </c>
      <c r="H9" s="40"/>
    </row>
    <row r="10" spans="1:8" x14ac:dyDescent="0.35">
      <c r="A10" s="15" t="s">
        <v>5</v>
      </c>
      <c r="B10" s="16">
        <v>0.49</v>
      </c>
      <c r="C10" s="18">
        <v>26</v>
      </c>
      <c r="D10" s="15"/>
      <c r="E10" s="15"/>
      <c r="G10" s="41"/>
      <c r="H10" s="40"/>
    </row>
    <row r="11" spans="1:8" x14ac:dyDescent="0.35">
      <c r="A11" s="15" t="s">
        <v>4</v>
      </c>
      <c r="B11" s="16">
        <v>0.47</v>
      </c>
      <c r="C11" s="18">
        <v>25</v>
      </c>
      <c r="D11" s="15"/>
      <c r="E11" s="15"/>
      <c r="G11" s="41"/>
      <c r="H11" s="40"/>
    </row>
    <row r="12" spans="1:8" x14ac:dyDescent="0.35">
      <c r="A12" s="15" t="s">
        <v>6</v>
      </c>
      <c r="B12" s="16">
        <v>0.73</v>
      </c>
      <c r="C12" s="18">
        <v>38</v>
      </c>
      <c r="D12" s="15"/>
      <c r="E12" s="15"/>
      <c r="G12" s="41"/>
      <c r="H12" s="40"/>
    </row>
    <row r="13" spans="1:8" x14ac:dyDescent="0.35">
      <c r="A13" s="15" t="s">
        <v>7</v>
      </c>
      <c r="B13" s="16">
        <v>0.1</v>
      </c>
      <c r="C13" s="18">
        <v>5</v>
      </c>
      <c r="D13" s="15"/>
      <c r="E13" s="15"/>
      <c r="G13" s="41"/>
      <c r="H13" s="40"/>
    </row>
    <row r="14" spans="1:8" x14ac:dyDescent="0.35">
      <c r="A14" s="4" t="s">
        <v>3</v>
      </c>
      <c r="B14" s="5">
        <f>SUM(B15:B16)</f>
        <v>13.530000000000001</v>
      </c>
      <c r="C14" s="19">
        <f>SUM(C15:C16)</f>
        <v>710</v>
      </c>
      <c r="D14" s="24">
        <f>B14/B21</f>
        <v>0.47110027855153208</v>
      </c>
      <c r="E14" s="24">
        <f>C14/C21</f>
        <v>0.47113470471134705</v>
      </c>
      <c r="G14" s="41"/>
      <c r="H14" s="40"/>
    </row>
    <row r="15" spans="1:8" x14ac:dyDescent="0.35">
      <c r="A15" s="6" t="s">
        <v>8</v>
      </c>
      <c r="B15" s="7">
        <v>1.8</v>
      </c>
      <c r="C15" s="20">
        <v>95</v>
      </c>
      <c r="D15" s="8">
        <f>B15/B21</f>
        <v>6.2674094707520889E-2</v>
      </c>
      <c r="E15" s="8">
        <f>C15/C21</f>
        <v>6.3039150630391505E-2</v>
      </c>
      <c r="F15" t="s">
        <v>63</v>
      </c>
      <c r="G15" s="41">
        <f>B15/B21</f>
        <v>6.2674094707520889E-2</v>
      </c>
      <c r="H15" s="40"/>
    </row>
    <row r="16" spans="1:8" x14ac:dyDescent="0.35">
      <c r="A16" s="6" t="s">
        <v>9</v>
      </c>
      <c r="B16" s="7">
        <v>11.73</v>
      </c>
      <c r="C16" s="20">
        <v>615</v>
      </c>
      <c r="D16" s="8">
        <f>B16/B21</f>
        <v>0.40842618384401119</v>
      </c>
      <c r="E16" s="8">
        <f>C16/C21</f>
        <v>0.40809555408095555</v>
      </c>
      <c r="F16" t="s">
        <v>64</v>
      </c>
      <c r="G16" s="41">
        <f>B16/B21</f>
        <v>0.40842618384401119</v>
      </c>
      <c r="H16" s="40"/>
    </row>
    <row r="17" spans="1:8" x14ac:dyDescent="0.35">
      <c r="A17" s="9" t="s">
        <v>10</v>
      </c>
      <c r="B17" s="10">
        <v>13.4</v>
      </c>
      <c r="C17" s="21">
        <v>703</v>
      </c>
      <c r="D17" s="9"/>
      <c r="E17" s="9"/>
      <c r="G17" s="41"/>
      <c r="H17" s="40"/>
    </row>
    <row r="18" spans="1:8" x14ac:dyDescent="0.35">
      <c r="A18" s="11" t="s">
        <v>11</v>
      </c>
      <c r="B18" s="10"/>
      <c r="C18" s="21"/>
      <c r="D18" s="9"/>
      <c r="E18" s="9"/>
      <c r="G18" s="41"/>
      <c r="H18" s="40"/>
    </row>
    <row r="19" spans="1:8" x14ac:dyDescent="0.35">
      <c r="A19" s="9"/>
      <c r="B19" s="10"/>
      <c r="C19" s="21"/>
      <c r="D19" s="9"/>
      <c r="E19" s="9"/>
      <c r="F19" t="s">
        <v>66</v>
      </c>
      <c r="G19" s="41">
        <f>B17/$B$21*NemWholesalePercentOfRetailAndWholesale</f>
        <v>0.17692611076338874</v>
      </c>
      <c r="H19" s="40"/>
    </row>
    <row r="20" spans="1:8" x14ac:dyDescent="0.35">
      <c r="A20" s="9"/>
      <c r="B20" s="10"/>
      <c r="C20" s="21"/>
      <c r="D20" s="9"/>
      <c r="E20" s="9"/>
      <c r="F20" t="s">
        <v>34</v>
      </c>
      <c r="G20" s="41">
        <f>B17/$B$21*NemRetailPercentOfRetailAndWholesale</f>
        <v>0.28964770539260015</v>
      </c>
      <c r="H20" s="40"/>
    </row>
    <row r="21" spans="1:8" x14ac:dyDescent="0.35">
      <c r="A21" s="2" t="s">
        <v>12</v>
      </c>
      <c r="B21" s="3">
        <f>B9+B14+B17</f>
        <v>28.72</v>
      </c>
      <c r="C21" s="23">
        <f>C9+C14+C17</f>
        <v>1507</v>
      </c>
      <c r="D21" s="2"/>
      <c r="E21" s="2"/>
      <c r="F21" s="32" t="s">
        <v>12</v>
      </c>
      <c r="G21" s="44">
        <f>SUM(G9:G20)</f>
        <v>1</v>
      </c>
      <c r="H21" s="47"/>
    </row>
    <row r="22" spans="1:8" x14ac:dyDescent="0.35">
      <c r="G22" s="41"/>
      <c r="H22" s="40"/>
    </row>
    <row r="23" spans="1:8" s="58" customFormat="1" ht="15.5" x14ac:dyDescent="0.35">
      <c r="A23" s="26" t="s">
        <v>72</v>
      </c>
      <c r="H23" s="40"/>
    </row>
    <row r="24" spans="1:8" s="58" customFormat="1" x14ac:dyDescent="0.35">
      <c r="A24" s="13" t="s">
        <v>2</v>
      </c>
      <c r="B24" s="14">
        <f>SUM(B25:B28)</f>
        <v>3.52</v>
      </c>
      <c r="C24" s="17">
        <f>SUM(C25:C28)</f>
        <v>178</v>
      </c>
      <c r="D24" s="13"/>
      <c r="E24" s="13"/>
      <c r="F24" s="58" t="s">
        <v>36</v>
      </c>
      <c r="G24" s="41">
        <f>B24/B36</f>
        <v>0.1107963487566887</v>
      </c>
      <c r="H24" s="40"/>
    </row>
    <row r="25" spans="1:8" s="58" customFormat="1" x14ac:dyDescent="0.35">
      <c r="A25" s="15" t="s">
        <v>5</v>
      </c>
      <c r="B25" s="16">
        <v>0.49</v>
      </c>
      <c r="C25" s="18">
        <v>25</v>
      </c>
      <c r="D25" s="15"/>
      <c r="E25" s="15"/>
      <c r="G25" s="41"/>
      <c r="H25" s="40"/>
    </row>
    <row r="26" spans="1:8" s="58" customFormat="1" x14ac:dyDescent="0.35">
      <c r="A26" s="15" t="s">
        <v>4</v>
      </c>
      <c r="B26" s="16">
        <v>0.49</v>
      </c>
      <c r="C26" s="18">
        <v>25</v>
      </c>
      <c r="D26" s="15"/>
      <c r="E26" s="15"/>
      <c r="G26" s="41"/>
      <c r="H26" s="40"/>
    </row>
    <row r="27" spans="1:8" s="58" customFormat="1" x14ac:dyDescent="0.35">
      <c r="A27" s="15" t="s">
        <v>73</v>
      </c>
      <c r="B27" s="16">
        <v>2.33</v>
      </c>
      <c r="C27" s="18">
        <v>117</v>
      </c>
      <c r="D27" s="15"/>
      <c r="E27" s="15"/>
      <c r="G27" s="41"/>
      <c r="H27" s="40"/>
    </row>
    <row r="28" spans="1:8" s="58" customFormat="1" x14ac:dyDescent="0.35">
      <c r="A28" s="15" t="s">
        <v>74</v>
      </c>
      <c r="B28" s="16">
        <v>0.21</v>
      </c>
      <c r="C28" s="18">
        <v>11</v>
      </c>
      <c r="D28" s="15"/>
      <c r="E28" s="15"/>
      <c r="G28" s="41"/>
      <c r="H28" s="40"/>
    </row>
    <row r="29" spans="1:8" s="58" customFormat="1" x14ac:dyDescent="0.35">
      <c r="A29" s="4" t="s">
        <v>3</v>
      </c>
      <c r="B29" s="5">
        <f>SUM(B30:B31)</f>
        <v>16.16</v>
      </c>
      <c r="C29" s="19">
        <f>SUM(C30:C31)</f>
        <v>808</v>
      </c>
      <c r="D29" s="24">
        <f>B29/B$36</f>
        <v>0.50865596474661634</v>
      </c>
      <c r="E29" s="24">
        <f>C29/C$36</f>
        <v>0.50785669390320554</v>
      </c>
      <c r="G29" s="41"/>
      <c r="H29" s="40"/>
    </row>
    <row r="30" spans="1:8" s="58" customFormat="1" x14ac:dyDescent="0.35">
      <c r="A30" s="6" t="s">
        <v>8</v>
      </c>
      <c r="B30" s="7">
        <v>2.73</v>
      </c>
      <c r="C30" s="20">
        <v>136</v>
      </c>
      <c r="D30" s="59">
        <f t="shared" ref="D30:E31" si="0">B30/B$36</f>
        <v>8.593012275731822E-2</v>
      </c>
      <c r="E30" s="59">
        <f t="shared" si="0"/>
        <v>8.5480829666876174E-2</v>
      </c>
      <c r="F30" s="58" t="s">
        <v>63</v>
      </c>
      <c r="G30" s="41">
        <f>B30/B36</f>
        <v>8.593012275731822E-2</v>
      </c>
      <c r="H30" s="40"/>
    </row>
    <row r="31" spans="1:8" s="58" customFormat="1" x14ac:dyDescent="0.35">
      <c r="A31" s="6" t="s">
        <v>9</v>
      </c>
      <c r="B31" s="7">
        <v>13.43</v>
      </c>
      <c r="C31" s="20">
        <v>672</v>
      </c>
      <c r="D31" s="59">
        <f t="shared" si="0"/>
        <v>0.42272584198929808</v>
      </c>
      <c r="E31" s="59">
        <f t="shared" si="0"/>
        <v>0.42237586423632933</v>
      </c>
      <c r="F31" s="58" t="s">
        <v>64</v>
      </c>
      <c r="G31" s="41">
        <f>B31/B36</f>
        <v>0.42272584198929808</v>
      </c>
      <c r="H31" s="40"/>
    </row>
    <row r="32" spans="1:8" s="58" customFormat="1" x14ac:dyDescent="0.35">
      <c r="A32" s="9" t="s">
        <v>10</v>
      </c>
      <c r="B32" s="10">
        <v>12.09</v>
      </c>
      <c r="C32" s="21">
        <v>605</v>
      </c>
      <c r="D32" s="9"/>
      <c r="E32" s="9"/>
      <c r="G32" s="41"/>
      <c r="H32" s="40"/>
    </row>
    <row r="33" spans="1:8" s="58" customFormat="1" x14ac:dyDescent="0.35">
      <c r="A33" s="11" t="s">
        <v>11</v>
      </c>
      <c r="B33" s="10"/>
      <c r="C33" s="21"/>
      <c r="D33" s="9"/>
      <c r="E33" s="9"/>
      <c r="G33" s="41"/>
      <c r="H33" s="40"/>
    </row>
    <row r="34" spans="1:8" s="58" customFormat="1" x14ac:dyDescent="0.35">
      <c r="A34" s="9"/>
      <c r="B34" s="10"/>
      <c r="C34" s="21"/>
      <c r="D34" s="9"/>
      <c r="E34" s="9"/>
      <c r="F34" s="58" t="s">
        <v>66</v>
      </c>
      <c r="G34" s="41">
        <f>B32/B36*SaWholesalePercentOfRetailAndWholesale</f>
        <v>0.13778450717983784</v>
      </c>
      <c r="H34" s="40"/>
    </row>
    <row r="35" spans="1:8" s="58" customFormat="1" x14ac:dyDescent="0.35">
      <c r="A35" s="9"/>
      <c r="B35" s="10"/>
      <c r="C35" s="21"/>
      <c r="D35" s="9"/>
      <c r="E35" s="9"/>
      <c r="F35" s="58" t="s">
        <v>34</v>
      </c>
      <c r="G35" s="41">
        <f>B32/B36*SaRetailPercentOfRetailAndWholesale</f>
        <v>0.24276317931685717</v>
      </c>
      <c r="H35" s="40"/>
    </row>
    <row r="36" spans="1:8" s="58" customFormat="1" x14ac:dyDescent="0.35">
      <c r="A36" s="2" t="s">
        <v>12</v>
      </c>
      <c r="B36" s="3">
        <f>B24+B29+B32</f>
        <v>31.77</v>
      </c>
      <c r="C36" s="23">
        <f>C24+C29+C32</f>
        <v>1591</v>
      </c>
      <c r="D36" s="2"/>
      <c r="E36" s="2"/>
      <c r="F36" s="32" t="s">
        <v>12</v>
      </c>
      <c r="G36" s="44">
        <f>SUM(G24:G35)</f>
        <v>1</v>
      </c>
      <c r="H36" s="40"/>
    </row>
    <row r="37" spans="1:8" s="58" customFormat="1" x14ac:dyDescent="0.35">
      <c r="G37" s="41"/>
      <c r="H37" s="40"/>
    </row>
    <row r="38" spans="1:8" s="58" customFormat="1" x14ac:dyDescent="0.35">
      <c r="G38" s="41"/>
      <c r="H38" s="40"/>
    </row>
    <row r="39" spans="1:8" ht="15.5" x14ac:dyDescent="0.35">
      <c r="A39" s="26" t="s">
        <v>17</v>
      </c>
      <c r="G39" s="43" t="s">
        <v>86</v>
      </c>
      <c r="H39" s="40"/>
    </row>
    <row r="40" spans="1:8" x14ac:dyDescent="0.35">
      <c r="A40" s="13" t="s">
        <v>2</v>
      </c>
      <c r="B40" s="14">
        <f>SUM(B41:B41)</f>
        <v>0.76</v>
      </c>
      <c r="C40" s="17">
        <f>SUM(C41:C41)</f>
        <v>65</v>
      </c>
      <c r="D40" s="13"/>
      <c r="E40" s="13"/>
      <c r="F40" t="s">
        <v>36</v>
      </c>
      <c r="G40" s="33">
        <v>0</v>
      </c>
      <c r="H40" s="40"/>
    </row>
    <row r="41" spans="1:8" x14ac:dyDescent="0.35">
      <c r="A41" s="15" t="s">
        <v>18</v>
      </c>
      <c r="B41" s="16">
        <v>0.76</v>
      </c>
      <c r="C41" s="18">
        <v>65</v>
      </c>
      <c r="D41" s="15"/>
      <c r="E41" s="15"/>
      <c r="F41" t="s">
        <v>85</v>
      </c>
      <c r="G41" s="33"/>
      <c r="H41" s="40"/>
    </row>
    <row r="42" spans="1:8" x14ac:dyDescent="0.35">
      <c r="A42" s="4" t="s">
        <v>3</v>
      </c>
      <c r="B42" s="5">
        <v>12.55</v>
      </c>
      <c r="C42" s="19">
        <v>1073</v>
      </c>
      <c r="D42" s="24">
        <f>B42/B48</f>
        <v>0.58947862846406773</v>
      </c>
      <c r="E42" s="24">
        <f>C42/C48</f>
        <v>0.5892366831411312</v>
      </c>
      <c r="G42" s="33"/>
      <c r="H42" s="40"/>
    </row>
    <row r="43" spans="1:8" x14ac:dyDescent="0.35">
      <c r="A43" s="4"/>
      <c r="B43" s="5"/>
      <c r="C43" s="19"/>
      <c r="D43" s="24"/>
      <c r="E43" s="24"/>
      <c r="F43" t="s">
        <v>63</v>
      </c>
      <c r="G43" s="56">
        <v>0.15</v>
      </c>
      <c r="H43" s="40"/>
    </row>
    <row r="44" spans="1:8" x14ac:dyDescent="0.35">
      <c r="A44" s="4"/>
      <c r="B44" s="5"/>
      <c r="C44" s="19"/>
      <c r="D44" s="24"/>
      <c r="E44" s="24"/>
      <c r="F44" t="s">
        <v>64</v>
      </c>
      <c r="G44" s="56">
        <v>0.44</v>
      </c>
      <c r="H44" s="40"/>
    </row>
    <row r="45" spans="1:8" x14ac:dyDescent="0.35">
      <c r="A45" s="9" t="s">
        <v>19</v>
      </c>
      <c r="B45" s="10">
        <v>7.98</v>
      </c>
      <c r="C45" s="21">
        <v>683</v>
      </c>
      <c r="D45" s="9"/>
      <c r="E45" s="9"/>
      <c r="G45" s="33"/>
      <c r="H45" s="40"/>
    </row>
    <row r="46" spans="1:8" x14ac:dyDescent="0.35">
      <c r="A46" s="9"/>
      <c r="B46" s="10"/>
      <c r="C46" s="21"/>
      <c r="D46" s="9"/>
      <c r="E46" s="9"/>
      <c r="F46" t="s">
        <v>66</v>
      </c>
      <c r="G46" s="56">
        <v>0.24</v>
      </c>
      <c r="H46" s="40"/>
    </row>
    <row r="47" spans="1:8" x14ac:dyDescent="0.35">
      <c r="A47" s="9"/>
      <c r="B47" s="10"/>
      <c r="C47" s="21"/>
      <c r="D47" s="9"/>
      <c r="E47" s="9"/>
      <c r="F47" t="s">
        <v>34</v>
      </c>
      <c r="G47" s="56">
        <v>0.17</v>
      </c>
      <c r="H47" s="40"/>
    </row>
    <row r="48" spans="1:8" x14ac:dyDescent="0.35">
      <c r="A48" s="2" t="s">
        <v>12</v>
      </c>
      <c r="B48" s="3">
        <f>B40+B42+B45</f>
        <v>21.29</v>
      </c>
      <c r="C48" s="23">
        <f>C40+C42+C45</f>
        <v>1821</v>
      </c>
      <c r="D48" s="2"/>
      <c r="E48" s="2"/>
      <c r="F48" s="32" t="s">
        <v>12</v>
      </c>
      <c r="G48" s="54">
        <f>SUM(G40:G47)</f>
        <v>1</v>
      </c>
      <c r="H48" s="45"/>
    </row>
    <row r="49" spans="1:8" x14ac:dyDescent="0.35">
      <c r="G49" s="41"/>
      <c r="H49" s="40"/>
    </row>
    <row r="50" spans="1:8" s="60" customFormat="1" x14ac:dyDescent="0.35">
      <c r="A50" s="31" t="s">
        <v>75</v>
      </c>
      <c r="G50" s="41"/>
      <c r="H50" s="40"/>
    </row>
    <row r="51" spans="1:8" s="60" customFormat="1" x14ac:dyDescent="0.35">
      <c r="A51" s="13" t="s">
        <v>2</v>
      </c>
      <c r="B51" s="14">
        <f>SUM(B52:B55)</f>
        <v>2.2800000000000002</v>
      </c>
      <c r="C51" s="17">
        <f>SUM(C52:C55)</f>
        <v>167</v>
      </c>
      <c r="D51" s="13"/>
      <c r="E51" s="13"/>
      <c r="F51" s="60" t="s">
        <v>36</v>
      </c>
      <c r="G51" s="41">
        <f>B51/B63</f>
        <v>0.11354581673306773</v>
      </c>
      <c r="H51" s="40"/>
    </row>
    <row r="52" spans="1:8" s="60" customFormat="1" x14ac:dyDescent="0.35">
      <c r="A52" s="15" t="s">
        <v>5</v>
      </c>
      <c r="B52" s="16">
        <v>0.46</v>
      </c>
      <c r="C52" s="18">
        <v>34</v>
      </c>
      <c r="D52" s="15"/>
      <c r="E52" s="15"/>
      <c r="G52" s="41"/>
      <c r="H52" s="40"/>
    </row>
    <row r="53" spans="1:8" s="60" customFormat="1" x14ac:dyDescent="0.35">
      <c r="A53" s="15" t="s">
        <v>4</v>
      </c>
      <c r="B53" s="16">
        <v>0.47</v>
      </c>
      <c r="C53" s="18">
        <v>34</v>
      </c>
      <c r="D53" s="15"/>
      <c r="E53" s="15"/>
      <c r="G53" s="41"/>
      <c r="H53" s="40"/>
    </row>
    <row r="54" spans="1:8" s="60" customFormat="1" x14ac:dyDescent="0.35">
      <c r="A54" s="15" t="s">
        <v>76</v>
      </c>
      <c r="B54" s="16">
        <v>0.86</v>
      </c>
      <c r="C54" s="18">
        <v>63</v>
      </c>
      <c r="D54" s="15"/>
      <c r="E54" s="15"/>
      <c r="G54" s="41"/>
      <c r="H54" s="40"/>
    </row>
    <row r="55" spans="1:8" s="60" customFormat="1" x14ac:dyDescent="0.35">
      <c r="A55" s="15" t="s">
        <v>77</v>
      </c>
      <c r="B55" s="16">
        <v>0.49</v>
      </c>
      <c r="C55" s="18">
        <v>36</v>
      </c>
      <c r="D55" s="15"/>
      <c r="E55" s="15"/>
      <c r="G55" s="41"/>
      <c r="H55" s="40"/>
    </row>
    <row r="56" spans="1:8" s="60" customFormat="1" x14ac:dyDescent="0.35">
      <c r="A56" s="4" t="s">
        <v>3</v>
      </c>
      <c r="B56" s="5">
        <f>SUM(B57:B58)</f>
        <v>8.4600000000000009</v>
      </c>
      <c r="C56" s="19">
        <f>SUM(C57:C58)</f>
        <v>618</v>
      </c>
      <c r="D56" s="24">
        <f>B56/B$63</f>
        <v>0.42131474103585659</v>
      </c>
      <c r="E56" s="24">
        <f>C56/C$63</f>
        <v>0.42098092643051771</v>
      </c>
      <c r="G56" s="41"/>
      <c r="H56" s="40"/>
    </row>
    <row r="57" spans="1:8" s="60" customFormat="1" x14ac:dyDescent="0.35">
      <c r="A57" s="6" t="s">
        <v>8</v>
      </c>
      <c r="B57" s="7">
        <v>2.2000000000000002</v>
      </c>
      <c r="C57" s="20">
        <v>161</v>
      </c>
      <c r="D57" s="59">
        <f>B57/B$63</f>
        <v>0.10956175298804781</v>
      </c>
      <c r="E57" s="59">
        <f>C57/C$63</f>
        <v>0.10967302452316076</v>
      </c>
      <c r="F57" s="60" t="s">
        <v>63</v>
      </c>
      <c r="G57" s="41">
        <f>B57/B63</f>
        <v>0.10956175298804781</v>
      </c>
      <c r="H57" s="40"/>
    </row>
    <row r="58" spans="1:8" s="60" customFormat="1" x14ac:dyDescent="0.35">
      <c r="A58" s="6" t="s">
        <v>9</v>
      </c>
      <c r="B58" s="7">
        <v>6.26</v>
      </c>
      <c r="C58" s="20">
        <v>457</v>
      </c>
      <c r="D58" s="59">
        <f>B58/B$63</f>
        <v>0.31175298804780871</v>
      </c>
      <c r="E58" s="59">
        <f t="shared" ref="E58" si="1">C58/C$36</f>
        <v>0.28724072910119419</v>
      </c>
      <c r="F58" s="60" t="s">
        <v>64</v>
      </c>
      <c r="G58" s="41">
        <f>B58/B63</f>
        <v>0.31175298804780871</v>
      </c>
      <c r="H58" s="40"/>
    </row>
    <row r="59" spans="1:8" s="60" customFormat="1" x14ac:dyDescent="0.35">
      <c r="A59" s="9" t="s">
        <v>10</v>
      </c>
      <c r="B59" s="10">
        <v>9.34</v>
      </c>
      <c r="C59" s="21">
        <v>683</v>
      </c>
      <c r="D59" s="9"/>
      <c r="E59" s="9"/>
      <c r="G59" s="41"/>
      <c r="H59" s="40"/>
    </row>
    <row r="60" spans="1:8" s="60" customFormat="1" x14ac:dyDescent="0.35">
      <c r="A60" s="11" t="s">
        <v>11</v>
      </c>
      <c r="B60" s="10"/>
      <c r="C60" s="21"/>
      <c r="D60" s="9"/>
      <c r="E60" s="9"/>
      <c r="G60" s="41"/>
      <c r="H60" s="40"/>
    </row>
    <row r="61" spans="1:8" s="60" customFormat="1" x14ac:dyDescent="0.35">
      <c r="A61" s="9"/>
      <c r="B61" s="10"/>
      <c r="C61" s="21"/>
      <c r="D61" s="9"/>
      <c r="E61" s="9"/>
      <c r="F61" s="60" t="s">
        <v>66</v>
      </c>
      <c r="G61" s="41">
        <f>B59/B63*ACTWholesalePercentOfRetailAndWholesale</f>
        <v>0.25371242303513214</v>
      </c>
      <c r="H61" s="40"/>
    </row>
    <row r="62" spans="1:8" s="60" customFormat="1" x14ac:dyDescent="0.35">
      <c r="A62" s="9"/>
      <c r="B62" s="10"/>
      <c r="C62" s="21"/>
      <c r="D62" s="9"/>
      <c r="E62" s="9"/>
      <c r="F62" s="60" t="s">
        <v>34</v>
      </c>
      <c r="G62" s="41">
        <f>B59/B63*ActRetailPercentOfRetailAndWholesale</f>
        <v>0.21142701919594348</v>
      </c>
      <c r="H62" s="40"/>
    </row>
    <row r="63" spans="1:8" s="60" customFormat="1" x14ac:dyDescent="0.35">
      <c r="A63" s="2" t="s">
        <v>12</v>
      </c>
      <c r="B63" s="3">
        <f>B51+B56+B59</f>
        <v>20.080000000000002</v>
      </c>
      <c r="C63" s="23">
        <f>C51+C56+C59</f>
        <v>1468</v>
      </c>
      <c r="D63" s="2"/>
      <c r="E63" s="2"/>
      <c r="F63" s="32" t="s">
        <v>12</v>
      </c>
      <c r="G63" s="44">
        <f>SUM(G51:G62)</f>
        <v>1</v>
      </c>
      <c r="H63" s="40"/>
    </row>
    <row r="64" spans="1:8" s="60" customFormat="1" x14ac:dyDescent="0.35">
      <c r="A64" s="65"/>
      <c r="B64" s="66"/>
      <c r="C64" s="67"/>
      <c r="D64" s="65"/>
      <c r="E64" s="65"/>
      <c r="F64" s="63"/>
      <c r="G64" s="64"/>
      <c r="H64" s="40"/>
    </row>
    <row r="65" spans="1:8" ht="15.5" x14ac:dyDescent="0.35">
      <c r="A65" s="26" t="s">
        <v>20</v>
      </c>
      <c r="G65" s="41"/>
      <c r="H65" s="40"/>
    </row>
    <row r="66" spans="1:8" x14ac:dyDescent="0.35">
      <c r="A66" s="13" t="s">
        <v>2</v>
      </c>
      <c r="B66" s="14">
        <f>SUM(B67:B69)</f>
        <v>2.08</v>
      </c>
      <c r="C66" s="17">
        <f>SUM(C67:C69)</f>
        <v>108</v>
      </c>
      <c r="D66" s="13"/>
      <c r="E66" s="13"/>
      <c r="F66" t="s">
        <v>36</v>
      </c>
      <c r="G66" s="41">
        <f>B66/$B$77</f>
        <v>7.6923076923076927E-2</v>
      </c>
      <c r="H66" s="40"/>
    </row>
    <row r="67" spans="1:8" x14ac:dyDescent="0.35">
      <c r="A67" s="15" t="s">
        <v>5</v>
      </c>
      <c r="B67" s="16">
        <v>0.48</v>
      </c>
      <c r="C67" s="18">
        <v>25</v>
      </c>
      <c r="D67" s="15"/>
      <c r="E67" s="15"/>
      <c r="G67" s="41"/>
      <c r="H67" s="40"/>
    </row>
    <row r="68" spans="1:8" x14ac:dyDescent="0.35">
      <c r="A68" s="15" t="s">
        <v>4</v>
      </c>
      <c r="B68" s="16">
        <v>0.48</v>
      </c>
      <c r="C68" s="18">
        <v>25</v>
      </c>
      <c r="D68" s="15"/>
      <c r="E68" s="15"/>
      <c r="G68" s="41"/>
      <c r="H68" s="40"/>
    </row>
    <row r="69" spans="1:8" x14ac:dyDescent="0.35">
      <c r="A69" s="15" t="s">
        <v>21</v>
      </c>
      <c r="B69" s="16">
        <v>1.1200000000000001</v>
      </c>
      <c r="C69" s="18">
        <v>58</v>
      </c>
      <c r="D69" s="15"/>
      <c r="E69" s="15"/>
      <c r="G69" s="41"/>
      <c r="H69" s="40"/>
    </row>
    <row r="70" spans="1:8" x14ac:dyDescent="0.35">
      <c r="A70" s="4" t="s">
        <v>3</v>
      </c>
      <c r="B70" s="5">
        <f>SUM(B71:B72)</f>
        <v>15.59</v>
      </c>
      <c r="C70" s="19">
        <f>SUM(C71:C72)</f>
        <v>807</v>
      </c>
      <c r="D70" s="24">
        <f>B70/B77</f>
        <v>0.57655325443786987</v>
      </c>
      <c r="E70" s="24">
        <f>C70/C77</f>
        <v>0.5764285714285714</v>
      </c>
      <c r="G70" s="41"/>
      <c r="H70" s="40"/>
    </row>
    <row r="71" spans="1:8" x14ac:dyDescent="0.35">
      <c r="A71" s="6" t="s">
        <v>8</v>
      </c>
      <c r="B71" s="7">
        <v>2.29</v>
      </c>
      <c r="C71" s="20">
        <v>119</v>
      </c>
      <c r="D71" s="8">
        <f>B71/B77</f>
        <v>8.4689349112426038E-2</v>
      </c>
      <c r="E71" s="8">
        <f>C71/C77</f>
        <v>8.5000000000000006E-2</v>
      </c>
      <c r="F71" t="s">
        <v>63</v>
      </c>
      <c r="G71" s="41">
        <f>B71/$B$77</f>
        <v>8.4689349112426038E-2</v>
      </c>
      <c r="H71" s="40"/>
    </row>
    <row r="72" spans="1:8" x14ac:dyDescent="0.35">
      <c r="A72" s="6" t="s">
        <v>9</v>
      </c>
      <c r="B72" s="7">
        <v>13.3</v>
      </c>
      <c r="C72" s="20">
        <v>688</v>
      </c>
      <c r="D72" s="8">
        <f>B72/B77</f>
        <v>0.49186390532544383</v>
      </c>
      <c r="E72" s="8">
        <f>C72/C77</f>
        <v>0.49142857142857144</v>
      </c>
      <c r="F72" t="s">
        <v>64</v>
      </c>
      <c r="G72" s="41">
        <f>B72/$B$77</f>
        <v>0.49186390532544383</v>
      </c>
      <c r="H72" s="40"/>
    </row>
    <row r="73" spans="1:8" x14ac:dyDescent="0.35">
      <c r="A73" s="9" t="s">
        <v>10</v>
      </c>
      <c r="B73" s="10">
        <v>9.3699999999999992</v>
      </c>
      <c r="C73" s="21">
        <v>485</v>
      </c>
      <c r="D73" s="9"/>
      <c r="E73" s="9"/>
      <c r="G73" s="41"/>
      <c r="H73" s="40"/>
    </row>
    <row r="74" spans="1:8" x14ac:dyDescent="0.35">
      <c r="A74" s="11" t="s">
        <v>11</v>
      </c>
      <c r="B74" s="10"/>
      <c r="C74" s="21"/>
      <c r="D74" s="9"/>
      <c r="E74" s="9"/>
      <c r="G74" s="41"/>
      <c r="H74" s="40"/>
    </row>
    <row r="75" spans="1:8" x14ac:dyDescent="0.35">
      <c r="A75" s="9"/>
      <c r="B75" s="10"/>
      <c r="C75" s="21"/>
      <c r="D75" s="9"/>
      <c r="E75" s="9"/>
      <c r="F75" t="s">
        <v>66</v>
      </c>
      <c r="G75" s="41">
        <f>B73/B77*QldWholesalePercentOfRetailAndWholesale</f>
        <v>0.12600860677783754</v>
      </c>
      <c r="H75" s="40"/>
    </row>
    <row r="76" spans="1:8" x14ac:dyDescent="0.35">
      <c r="A76" s="9"/>
      <c r="B76" s="12"/>
      <c r="C76" s="22"/>
      <c r="D76" s="11"/>
      <c r="E76" s="11"/>
      <c r="F76" t="s">
        <v>34</v>
      </c>
      <c r="G76" s="41">
        <f>B73/B77*QldRetailPercentOfRetailAndWholesale</f>
        <v>0.22051506186121572</v>
      </c>
      <c r="H76" s="40"/>
    </row>
    <row r="77" spans="1:8" x14ac:dyDescent="0.35">
      <c r="A77" s="2" t="s">
        <v>12</v>
      </c>
      <c r="B77" s="3">
        <f>B66+B70+B73</f>
        <v>27.04</v>
      </c>
      <c r="C77" s="23">
        <f>C66+C70+C73</f>
        <v>1400</v>
      </c>
      <c r="D77" s="2"/>
      <c r="E77" s="2"/>
      <c r="F77" s="32" t="s">
        <v>12</v>
      </c>
      <c r="G77" s="44">
        <f>SUM(G66:G76)</f>
        <v>1</v>
      </c>
      <c r="H77" s="45"/>
    </row>
    <row r="78" spans="1:8" x14ac:dyDescent="0.35">
      <c r="G78" s="41"/>
      <c r="H78" s="40"/>
    </row>
    <row r="79" spans="1:8" ht="15.5" x14ac:dyDescent="0.35">
      <c r="A79" s="26" t="s">
        <v>22</v>
      </c>
      <c r="G79" s="41"/>
      <c r="H79" s="40"/>
    </row>
    <row r="80" spans="1:8" x14ac:dyDescent="0.35">
      <c r="A80" s="13" t="s">
        <v>2</v>
      </c>
      <c r="B80" s="14">
        <f>SUM(B81:B84)</f>
        <v>1.4300000000000002</v>
      </c>
      <c r="C80" s="17">
        <f>SUM(C81:C84)</f>
        <v>84</v>
      </c>
      <c r="D80" s="13"/>
      <c r="E80" s="13"/>
      <c r="F80" t="s">
        <v>36</v>
      </c>
      <c r="G80" s="41">
        <f>B80/$B$92</f>
        <v>5.0369848538217687E-2</v>
      </c>
      <c r="H80" s="40"/>
    </row>
    <row r="81" spans="1:8" x14ac:dyDescent="0.35">
      <c r="A81" s="15" t="s">
        <v>5</v>
      </c>
      <c r="B81" s="16">
        <v>0.49</v>
      </c>
      <c r="C81" s="18">
        <v>29</v>
      </c>
      <c r="D81" s="15"/>
      <c r="E81" s="15"/>
      <c r="G81" s="41"/>
      <c r="H81" s="40"/>
    </row>
    <row r="82" spans="1:8" x14ac:dyDescent="0.35">
      <c r="A82" s="15" t="s">
        <v>4</v>
      </c>
      <c r="B82" s="16">
        <v>0.49</v>
      </c>
      <c r="C82" s="18">
        <v>29</v>
      </c>
      <c r="D82" s="15"/>
      <c r="E82" s="15"/>
      <c r="G82" s="41"/>
      <c r="H82" s="40"/>
    </row>
    <row r="83" spans="1:8" x14ac:dyDescent="0.35">
      <c r="A83" s="15" t="s">
        <v>24</v>
      </c>
      <c r="B83" s="16">
        <v>0.39</v>
      </c>
      <c r="C83" s="18">
        <v>23</v>
      </c>
      <c r="D83" s="15"/>
      <c r="E83" s="15"/>
      <c r="G83" s="41"/>
      <c r="H83" s="40"/>
    </row>
    <row r="84" spans="1:8" x14ac:dyDescent="0.35">
      <c r="A84" s="15" t="s">
        <v>23</v>
      </c>
      <c r="B84" s="16">
        <v>0.06</v>
      </c>
      <c r="C84" s="18">
        <v>3</v>
      </c>
      <c r="D84" s="15"/>
      <c r="E84" s="15"/>
      <c r="G84" s="41"/>
      <c r="H84" s="40"/>
    </row>
    <row r="85" spans="1:8" x14ac:dyDescent="0.35">
      <c r="A85" s="4" t="s">
        <v>3</v>
      </c>
      <c r="B85" s="5">
        <f>SUM(B86:B87)</f>
        <v>12.43</v>
      </c>
      <c r="C85" s="19">
        <f>SUM(C86:C87)</f>
        <v>738</v>
      </c>
      <c r="D85" s="24">
        <f>B85/B92</f>
        <v>0.43783022190912291</v>
      </c>
      <c r="E85" s="24">
        <f>C85/C92</f>
        <v>0.43798219584569731</v>
      </c>
      <c r="H85" s="40"/>
    </row>
    <row r="86" spans="1:8" x14ac:dyDescent="0.35">
      <c r="A86" s="6" t="s">
        <v>8</v>
      </c>
      <c r="B86" s="7">
        <v>1.66</v>
      </c>
      <c r="C86" s="20">
        <v>99</v>
      </c>
      <c r="D86" s="8">
        <f>B86/B92</f>
        <v>5.8471292708700245E-2</v>
      </c>
      <c r="E86" s="8">
        <f>C86/C92</f>
        <v>5.8753709198813057E-2</v>
      </c>
      <c r="F86" t="s">
        <v>63</v>
      </c>
      <c r="G86" s="41">
        <f>B86/$B$92</f>
        <v>5.8471292708700245E-2</v>
      </c>
      <c r="H86" s="40"/>
    </row>
    <row r="87" spans="1:8" x14ac:dyDescent="0.35">
      <c r="A87" s="6" t="s">
        <v>9</v>
      </c>
      <c r="B87" s="7">
        <v>10.77</v>
      </c>
      <c r="C87" s="20">
        <v>639</v>
      </c>
      <c r="D87" s="8">
        <f>B87/B92</f>
        <v>0.37935892920042263</v>
      </c>
      <c r="E87" s="8">
        <f>C87/C92</f>
        <v>0.3792284866468843</v>
      </c>
      <c r="F87" t="s">
        <v>64</v>
      </c>
      <c r="G87" s="41">
        <f>B87/$B$92</f>
        <v>0.37935892920042263</v>
      </c>
      <c r="H87" s="40"/>
    </row>
    <row r="88" spans="1:8" x14ac:dyDescent="0.35">
      <c r="A88" s="9" t="s">
        <v>10</v>
      </c>
      <c r="B88" s="10">
        <v>14.53</v>
      </c>
      <c r="C88" s="21">
        <v>863</v>
      </c>
      <c r="D88" s="9"/>
      <c r="E88" s="9"/>
      <c r="G88" s="41"/>
      <c r="H88" s="40"/>
    </row>
    <row r="89" spans="1:8" x14ac:dyDescent="0.35">
      <c r="A89" s="11" t="s">
        <v>11</v>
      </c>
      <c r="B89" s="12"/>
      <c r="C89" s="22"/>
      <c r="D89" s="11"/>
      <c r="E89" s="11"/>
      <c r="G89" s="41"/>
      <c r="H89" s="40"/>
    </row>
    <row r="90" spans="1:8" x14ac:dyDescent="0.35">
      <c r="A90" s="11"/>
      <c r="B90" s="12"/>
      <c r="C90" s="22"/>
      <c r="D90" s="11"/>
      <c r="E90" s="11"/>
      <c r="F90" t="s">
        <v>66</v>
      </c>
      <c r="G90" s="41">
        <f>B88/B92*NswWholesalePercentOfRetailAndWholesale</f>
        <v>0.20668843308857399</v>
      </c>
      <c r="H90" s="40"/>
    </row>
    <row r="91" spans="1:8" x14ac:dyDescent="0.35">
      <c r="A91" s="11"/>
      <c r="B91" s="12"/>
      <c r="C91" s="22"/>
      <c r="D91" s="11"/>
      <c r="E91" s="11"/>
      <c r="F91" t="s">
        <v>34</v>
      </c>
      <c r="G91" s="41">
        <f>B88/B92*NswRetailPercentOfRetailAndWholesale</f>
        <v>0.30511149646408542</v>
      </c>
      <c r="H91" s="40"/>
    </row>
    <row r="92" spans="1:8" x14ac:dyDescent="0.35">
      <c r="A92" s="2" t="s">
        <v>12</v>
      </c>
      <c r="B92" s="3">
        <f>B80+B85+B88</f>
        <v>28.39</v>
      </c>
      <c r="C92" s="23">
        <f>C80+C85+C88</f>
        <v>1685</v>
      </c>
      <c r="D92" s="2"/>
      <c r="E92" s="2"/>
      <c r="F92" s="32" t="s">
        <v>12</v>
      </c>
      <c r="G92" s="44">
        <f>SUM(G80:G91)</f>
        <v>1</v>
      </c>
      <c r="H92" s="46"/>
    </row>
    <row r="93" spans="1:8" x14ac:dyDescent="0.35">
      <c r="G93" s="41"/>
      <c r="H93" s="40"/>
    </row>
    <row r="94" spans="1:8" ht="15.5" x14ac:dyDescent="0.35">
      <c r="A94" s="26" t="s">
        <v>26</v>
      </c>
      <c r="G94" s="41"/>
      <c r="H94" s="40"/>
    </row>
    <row r="95" spans="1:8" x14ac:dyDescent="0.35">
      <c r="A95" s="13" t="s">
        <v>2</v>
      </c>
      <c r="B95" s="14">
        <f>SUM(B96:B99)</f>
        <v>1.96</v>
      </c>
      <c r="C95" s="17">
        <f>SUM(C96:C99)</f>
        <v>78</v>
      </c>
      <c r="D95" s="13"/>
      <c r="E95" s="13"/>
      <c r="F95" t="s">
        <v>36</v>
      </c>
      <c r="G95" s="41">
        <f>B95/$B$107</f>
        <v>6.1986084756483234E-2</v>
      </c>
      <c r="H95" s="40"/>
    </row>
    <row r="96" spans="1:8" x14ac:dyDescent="0.35">
      <c r="A96" s="15" t="s">
        <v>5</v>
      </c>
      <c r="B96" s="16">
        <v>0.48</v>
      </c>
      <c r="C96" s="18">
        <v>19</v>
      </c>
      <c r="D96" s="15"/>
      <c r="E96" s="15"/>
      <c r="G96" s="41"/>
      <c r="H96" s="40"/>
    </row>
    <row r="97" spans="1:8" x14ac:dyDescent="0.35">
      <c r="A97" s="15" t="s">
        <v>4</v>
      </c>
      <c r="B97" s="16">
        <v>0.48</v>
      </c>
      <c r="C97" s="18">
        <v>19</v>
      </c>
      <c r="D97" s="15"/>
      <c r="E97" s="15"/>
      <c r="G97" s="41"/>
      <c r="H97" s="40"/>
    </row>
    <row r="98" spans="1:8" x14ac:dyDescent="0.35">
      <c r="A98" s="15" t="s">
        <v>27</v>
      </c>
      <c r="B98" s="16">
        <v>0.79</v>
      </c>
      <c r="C98" s="18">
        <v>32</v>
      </c>
      <c r="D98" s="15"/>
      <c r="E98" s="15"/>
      <c r="G98" s="41"/>
      <c r="H98" s="40"/>
    </row>
    <row r="99" spans="1:8" x14ac:dyDescent="0.35">
      <c r="A99" s="15" t="s">
        <v>28</v>
      </c>
      <c r="B99" s="16">
        <v>0.21</v>
      </c>
      <c r="C99" s="18">
        <v>8</v>
      </c>
      <c r="D99" s="15"/>
      <c r="E99" s="15"/>
      <c r="G99" s="41"/>
      <c r="H99" s="40"/>
    </row>
    <row r="100" spans="1:8" x14ac:dyDescent="0.35">
      <c r="A100" s="4" t="s">
        <v>3</v>
      </c>
      <c r="B100" s="5">
        <f>SUM(B101:B102)</f>
        <v>13.5</v>
      </c>
      <c r="C100" s="19">
        <f>SUM(C101:C102)</f>
        <v>544</v>
      </c>
      <c r="D100" s="24">
        <f>B100/B107</f>
        <v>0.42694497153700189</v>
      </c>
      <c r="E100" s="24">
        <f>C100/C107</f>
        <v>0.42733699921445406</v>
      </c>
      <c r="G100" s="41"/>
      <c r="H100" s="40"/>
    </row>
    <row r="101" spans="1:8" x14ac:dyDescent="0.35">
      <c r="A101" s="6" t="s">
        <v>8</v>
      </c>
      <c r="B101" s="7">
        <v>1.55</v>
      </c>
      <c r="C101" s="20">
        <v>63</v>
      </c>
      <c r="D101" s="8">
        <f>B101/B107</f>
        <v>4.9019607843137254E-2</v>
      </c>
      <c r="E101" s="8">
        <f>C101/C107</f>
        <v>4.9489395129615081E-2</v>
      </c>
      <c r="F101" t="s">
        <v>63</v>
      </c>
      <c r="G101" s="41">
        <f>B101/$B$107</f>
        <v>4.9019607843137254E-2</v>
      </c>
      <c r="H101" s="40"/>
    </row>
    <row r="102" spans="1:8" x14ac:dyDescent="0.35">
      <c r="A102" s="6" t="s">
        <v>9</v>
      </c>
      <c r="B102" s="7">
        <v>11.95</v>
      </c>
      <c r="C102" s="20">
        <v>481</v>
      </c>
      <c r="D102" s="8">
        <f>B102/B107</f>
        <v>0.37792536369386459</v>
      </c>
      <c r="E102" s="8">
        <f>C102/C107</f>
        <v>0.37784760408483897</v>
      </c>
      <c r="F102" t="s">
        <v>64</v>
      </c>
      <c r="G102" s="41">
        <f>B102/$B$107</f>
        <v>0.37792536369386459</v>
      </c>
      <c r="H102" s="40"/>
    </row>
    <row r="103" spans="1:8" x14ac:dyDescent="0.35">
      <c r="A103" s="9" t="s">
        <v>10</v>
      </c>
      <c r="B103" s="10">
        <v>16.16</v>
      </c>
      <c r="C103" s="21">
        <v>651</v>
      </c>
      <c r="D103" s="9"/>
      <c r="E103" s="9"/>
      <c r="G103" s="41"/>
      <c r="H103" s="40"/>
    </row>
    <row r="104" spans="1:8" x14ac:dyDescent="0.35">
      <c r="A104" s="11" t="s">
        <v>11</v>
      </c>
      <c r="B104" s="12"/>
      <c r="C104" s="22"/>
      <c r="D104" s="11"/>
      <c r="E104" s="11"/>
      <c r="G104" s="41"/>
      <c r="H104" s="40"/>
    </row>
    <row r="105" spans="1:8" x14ac:dyDescent="0.35">
      <c r="A105" s="11"/>
      <c r="B105" s="12"/>
      <c r="C105" s="22"/>
      <c r="D105" s="11"/>
      <c r="E105" s="11"/>
      <c r="F105" t="s">
        <v>66</v>
      </c>
      <c r="G105" s="41">
        <f>B103/$B$107*VicWholesalePercentOfRetailAndWholesale</f>
        <v>0.17623067024362585</v>
      </c>
      <c r="H105" s="40"/>
    </row>
    <row r="106" spans="1:8" x14ac:dyDescent="0.35">
      <c r="A106" s="11"/>
      <c r="B106" s="12"/>
      <c r="C106" s="22"/>
      <c r="D106" s="11"/>
      <c r="E106" s="11"/>
      <c r="F106" t="s">
        <v>34</v>
      </c>
      <c r="G106" s="41">
        <f>B103/$B$107*VicRetailPercentOfRetailAndWholesale</f>
        <v>0.33483827346288908</v>
      </c>
      <c r="H106" s="40"/>
    </row>
    <row r="107" spans="1:8" x14ac:dyDescent="0.35">
      <c r="A107" s="2" t="s">
        <v>12</v>
      </c>
      <c r="B107" s="3">
        <f>B95+B100+B103</f>
        <v>31.62</v>
      </c>
      <c r="C107" s="23">
        <f>C95+C100+C103</f>
        <v>1273</v>
      </c>
      <c r="D107" s="2"/>
      <c r="E107" s="2"/>
      <c r="F107" s="32" t="s">
        <v>12</v>
      </c>
      <c r="G107" s="44">
        <f>SUM(G95:G106)</f>
        <v>1</v>
      </c>
      <c r="H107" s="46"/>
    </row>
    <row r="109" spans="1:8" x14ac:dyDescent="0.35">
      <c r="A109" s="29" t="s">
        <v>29</v>
      </c>
      <c r="B109" s="30"/>
      <c r="C109" s="30"/>
      <c r="D109" s="30"/>
      <c r="E109" s="30"/>
      <c r="F109" s="30"/>
      <c r="G109" s="30"/>
    </row>
    <row r="110" spans="1:8" ht="41.5" customHeight="1" x14ac:dyDescent="0.35">
      <c r="A110" s="76" t="s">
        <v>88</v>
      </c>
      <c r="B110" s="76"/>
      <c r="C110" s="76"/>
      <c r="D110" s="76"/>
      <c r="E110" s="76"/>
      <c r="F110" s="76"/>
      <c r="G110" s="76"/>
      <c r="H110" s="76"/>
    </row>
    <row r="111" spans="1:8" ht="33" customHeight="1" x14ac:dyDescent="0.35">
      <c r="A111" s="76" t="s">
        <v>83</v>
      </c>
      <c r="B111" s="76"/>
      <c r="C111" s="76"/>
      <c r="D111" s="76"/>
      <c r="E111" s="76"/>
      <c r="F111" s="76"/>
      <c r="G111" s="76"/>
      <c r="H111" s="76"/>
    </row>
    <row r="113" spans="1:10" ht="28.5" customHeight="1" x14ac:dyDescent="0.35">
      <c r="A113" s="78" t="s">
        <v>68</v>
      </c>
      <c r="B113" s="78"/>
      <c r="C113" s="78"/>
      <c r="D113" s="78"/>
      <c r="E113" s="78"/>
      <c r="F113" s="78"/>
      <c r="G113" s="78"/>
      <c r="H113" s="78"/>
      <c r="I113" s="69"/>
      <c r="J113" s="69"/>
    </row>
    <row r="114" spans="1:10" ht="14.5" customHeight="1" x14ac:dyDescent="0.35">
      <c r="A114" s="82" t="s">
        <v>67</v>
      </c>
      <c r="B114" s="82"/>
      <c r="C114" s="82"/>
      <c r="D114" s="82"/>
      <c r="E114" s="82"/>
      <c r="F114" s="82"/>
      <c r="G114" s="82"/>
      <c r="H114" s="82"/>
      <c r="I114" s="61"/>
      <c r="J114" s="61"/>
    </row>
    <row r="115" spans="1:10" ht="20.5" customHeight="1" x14ac:dyDescent="0.35">
      <c r="A115" s="76" t="s">
        <v>87</v>
      </c>
      <c r="B115" s="76"/>
      <c r="C115" s="76"/>
      <c r="D115" s="76"/>
      <c r="E115" s="76"/>
      <c r="F115" s="76"/>
      <c r="G115" s="76"/>
      <c r="H115" s="76"/>
    </row>
    <row r="116" spans="1:10" x14ac:dyDescent="0.35">
      <c r="A116" s="76"/>
      <c r="B116" s="76"/>
      <c r="C116" s="76"/>
      <c r="D116" s="76"/>
      <c r="E116" s="76"/>
      <c r="F116" s="76"/>
      <c r="G116" s="76"/>
    </row>
    <row r="117" spans="1:10" ht="29.5" customHeight="1" x14ac:dyDescent="0.35">
      <c r="A117" s="28" t="s">
        <v>31</v>
      </c>
      <c r="B117" s="27"/>
      <c r="C117" s="27"/>
      <c r="D117" s="27"/>
      <c r="E117" s="27"/>
      <c r="F117" s="27"/>
      <c r="G117" s="27"/>
    </row>
    <row r="118" spans="1:10" ht="31" customHeight="1" x14ac:dyDescent="0.35">
      <c r="A118" s="76" t="s">
        <v>32</v>
      </c>
      <c r="B118" s="76"/>
      <c r="C118" s="76"/>
      <c r="D118" s="76"/>
      <c r="E118" s="76"/>
      <c r="F118" s="76"/>
      <c r="G118" s="76"/>
    </row>
    <row r="119" spans="1:10" x14ac:dyDescent="0.35">
      <c r="A119" s="76" t="s">
        <v>33</v>
      </c>
      <c r="B119" s="76"/>
      <c r="C119" s="76"/>
      <c r="D119" s="76"/>
      <c r="E119" s="76"/>
      <c r="F119" s="76"/>
      <c r="G119" s="76"/>
    </row>
  </sheetData>
  <mergeCells count="11">
    <mergeCell ref="A118:G118"/>
    <mergeCell ref="A119:G119"/>
    <mergeCell ref="A2:H2"/>
    <mergeCell ref="A113:H113"/>
    <mergeCell ref="F7:H7"/>
    <mergeCell ref="A115:H115"/>
    <mergeCell ref="A116:G116"/>
    <mergeCell ref="A7:E7"/>
    <mergeCell ref="A114:H114"/>
    <mergeCell ref="A110:H110"/>
    <mergeCell ref="A111:H111"/>
  </mergeCells>
  <hyperlinks>
    <hyperlink ref="A3" r:id="rId1"/>
    <hyperlink ref="A114" r:id="rId2"/>
  </hyperlinks>
  <pageMargins left="0.7" right="0.7" top="0.75" bottom="0.75" header="0.3" footer="0.3"/>
  <pageSetup paperSize="9" scale="98" fitToHeight="0" orientation="portrait" horizontalDpi="0" verticalDpi="0"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workbookViewId="0">
      <pane ySplit="6" topLeftCell="A7" activePane="bottomLeft" state="frozen"/>
      <selection pane="bottomLeft" activeCell="F12" sqref="F12"/>
    </sheetView>
  </sheetViews>
  <sheetFormatPr defaultRowHeight="14.5" x14ac:dyDescent="0.35"/>
  <cols>
    <col min="1" max="1" width="33.453125" bestFit="1" customWidth="1"/>
    <col min="2" max="2" width="13.6328125" bestFit="1" customWidth="1"/>
    <col min="3" max="3" width="10" bestFit="1" customWidth="1"/>
    <col min="4" max="4" width="11" bestFit="1" customWidth="1"/>
    <col min="5" max="5" width="10" bestFit="1" customWidth="1"/>
    <col min="8" max="8" width="12.54296875" bestFit="1" customWidth="1"/>
    <col min="9" max="9" width="10.08984375" bestFit="1" customWidth="1"/>
    <col min="10" max="10" width="13.453125" bestFit="1" customWidth="1"/>
  </cols>
  <sheetData>
    <row r="1" spans="1:10" s="62" customFormat="1" ht="17" x14ac:dyDescent="0.4">
      <c r="A1" s="70" t="s">
        <v>89</v>
      </c>
    </row>
    <row r="2" spans="1:10" x14ac:dyDescent="0.35">
      <c r="A2" t="s">
        <v>58</v>
      </c>
    </row>
    <row r="3" spans="1:10" s="62" customFormat="1" x14ac:dyDescent="0.35">
      <c r="A3" s="62" t="s">
        <v>91</v>
      </c>
    </row>
    <row r="4" spans="1:10" x14ac:dyDescent="0.35">
      <c r="A4" s="25" t="s">
        <v>90</v>
      </c>
    </row>
    <row r="5" spans="1:10" s="62" customFormat="1" x14ac:dyDescent="0.35"/>
    <row r="6" spans="1:10" x14ac:dyDescent="0.35">
      <c r="A6" s="31" t="s">
        <v>45</v>
      </c>
      <c r="B6" s="49" t="s">
        <v>39</v>
      </c>
      <c r="C6" s="49" t="s">
        <v>40</v>
      </c>
      <c r="D6" s="49" t="s">
        <v>41</v>
      </c>
      <c r="E6" s="49" t="s">
        <v>42</v>
      </c>
      <c r="F6" s="49" t="s">
        <v>43</v>
      </c>
      <c r="G6" s="50" t="s">
        <v>59</v>
      </c>
      <c r="H6" s="49" t="s">
        <v>52</v>
      </c>
      <c r="I6" s="51" t="s">
        <v>53</v>
      </c>
      <c r="J6" s="51" t="s">
        <v>55</v>
      </c>
    </row>
    <row r="7" spans="1:10" x14ac:dyDescent="0.35">
      <c r="A7" t="s">
        <v>34</v>
      </c>
      <c r="B7">
        <v>37</v>
      </c>
      <c r="C7">
        <v>35</v>
      </c>
      <c r="D7">
        <v>31</v>
      </c>
      <c r="E7">
        <v>38</v>
      </c>
      <c r="F7">
        <v>25</v>
      </c>
      <c r="G7" s="42">
        <v>17</v>
      </c>
      <c r="J7" s="40">
        <f>B7*$B$32+C7*$C$32+D7*$D$32+E7*$E$32+F7*$F$32+G7*$G$32</f>
        <v>33.934815437033407</v>
      </c>
    </row>
    <row r="8" spans="1:10" x14ac:dyDescent="0.35">
      <c r="A8" t="s">
        <v>35</v>
      </c>
      <c r="B8">
        <v>0</v>
      </c>
      <c r="C8">
        <v>0</v>
      </c>
      <c r="D8">
        <v>0</v>
      </c>
      <c r="E8">
        <v>11</v>
      </c>
      <c r="F8">
        <v>0</v>
      </c>
      <c r="G8" s="42">
        <v>3</v>
      </c>
      <c r="J8" s="40">
        <f t="shared" ref="J8:J11" si="0">B8*$B$32+C8*$C$32+D8*$D$32+E8*$E$32+F8*$F$32+G8*$G$32</f>
        <v>3.2082904684152407</v>
      </c>
    </row>
    <row r="9" spans="1:10" x14ac:dyDescent="0.35">
      <c r="A9" t="s">
        <v>36</v>
      </c>
      <c r="B9">
        <v>3</v>
      </c>
      <c r="C9">
        <v>4</v>
      </c>
      <c r="D9">
        <v>3</v>
      </c>
      <c r="E9">
        <v>3</v>
      </c>
      <c r="F9">
        <v>6</v>
      </c>
      <c r="G9" s="42">
        <v>0</v>
      </c>
      <c r="J9" s="40">
        <f t="shared" si="0"/>
        <v>3.2103338272630317</v>
      </c>
    </row>
    <row r="10" spans="1:10" x14ac:dyDescent="0.35">
      <c r="A10" t="s">
        <v>37</v>
      </c>
      <c r="B10">
        <v>21</v>
      </c>
      <c r="C10">
        <v>20</v>
      </c>
      <c r="D10">
        <v>21</v>
      </c>
      <c r="E10">
        <v>20</v>
      </c>
      <c r="F10">
        <v>30</v>
      </c>
      <c r="G10" s="42">
        <v>24</v>
      </c>
      <c r="J10" s="40">
        <f t="shared" si="0"/>
        <v>20.728473945994924</v>
      </c>
    </row>
    <row r="11" spans="1:10" x14ac:dyDescent="0.35">
      <c r="A11" t="s">
        <v>38</v>
      </c>
      <c r="B11">
        <v>39</v>
      </c>
      <c r="C11">
        <v>41</v>
      </c>
      <c r="D11">
        <v>45</v>
      </c>
      <c r="E11">
        <v>28</v>
      </c>
      <c r="F11">
        <v>39</v>
      </c>
      <c r="G11" s="42">
        <f>41+15</f>
        <v>56</v>
      </c>
      <c r="J11" s="40">
        <f t="shared" si="0"/>
        <v>38.918086321293401</v>
      </c>
    </row>
    <row r="12" spans="1:10" x14ac:dyDescent="0.35">
      <c r="B12" s="32">
        <f>SUM(B7:B11)</f>
        <v>100</v>
      </c>
      <c r="C12" s="32">
        <f t="shared" ref="C12:F12" si="1">SUM(C7:C11)</f>
        <v>100</v>
      </c>
      <c r="D12" s="32">
        <f t="shared" si="1"/>
        <v>100</v>
      </c>
      <c r="E12" s="32">
        <f t="shared" si="1"/>
        <v>100</v>
      </c>
      <c r="F12" s="32">
        <f t="shared" si="1"/>
        <v>100</v>
      </c>
      <c r="G12" s="32">
        <f>SUM(G7:G11)</f>
        <v>100</v>
      </c>
      <c r="J12" s="45">
        <f>SUM(J7:J11)</f>
        <v>100</v>
      </c>
    </row>
    <row r="14" spans="1:10" x14ac:dyDescent="0.35">
      <c r="A14" s="31" t="s">
        <v>46</v>
      </c>
    </row>
    <row r="15" spans="1:10" x14ac:dyDescent="0.35">
      <c r="A15" t="s">
        <v>34</v>
      </c>
      <c r="B15">
        <f>B7</f>
        <v>37</v>
      </c>
      <c r="C15">
        <f t="shared" ref="C15:F15" si="2">C7</f>
        <v>35</v>
      </c>
      <c r="D15">
        <f t="shared" si="2"/>
        <v>31</v>
      </c>
      <c r="E15">
        <f t="shared" si="2"/>
        <v>38</v>
      </c>
      <c r="F15">
        <f t="shared" si="2"/>
        <v>25</v>
      </c>
    </row>
    <row r="16" spans="1:10" x14ac:dyDescent="0.35">
      <c r="A16" t="s">
        <v>47</v>
      </c>
      <c r="B16">
        <f>B11+B8</f>
        <v>39</v>
      </c>
      <c r="C16">
        <f t="shared" ref="C16:F16" si="3">C11+C8</f>
        <v>41</v>
      </c>
      <c r="D16">
        <f t="shared" si="3"/>
        <v>45</v>
      </c>
      <c r="E16">
        <f t="shared" si="3"/>
        <v>39</v>
      </c>
      <c r="F16">
        <f t="shared" si="3"/>
        <v>39</v>
      </c>
    </row>
    <row r="17" spans="1:10" x14ac:dyDescent="0.35">
      <c r="A17" t="s">
        <v>37</v>
      </c>
      <c r="B17">
        <f>B10</f>
        <v>21</v>
      </c>
      <c r="C17">
        <f t="shared" ref="C17:F17" si="4">C10</f>
        <v>20</v>
      </c>
      <c r="D17">
        <f t="shared" si="4"/>
        <v>21</v>
      </c>
      <c r="E17">
        <f t="shared" si="4"/>
        <v>20</v>
      </c>
      <c r="F17">
        <f t="shared" si="4"/>
        <v>30</v>
      </c>
    </row>
    <row r="18" spans="1:10" x14ac:dyDescent="0.35">
      <c r="A18" t="s">
        <v>36</v>
      </c>
      <c r="B18">
        <f>B9</f>
        <v>3</v>
      </c>
      <c r="C18">
        <f t="shared" ref="C18:F18" si="5">C9</f>
        <v>4</v>
      </c>
      <c r="D18">
        <f t="shared" si="5"/>
        <v>3</v>
      </c>
      <c r="E18">
        <f t="shared" si="5"/>
        <v>3</v>
      </c>
      <c r="F18">
        <f t="shared" si="5"/>
        <v>6</v>
      </c>
    </row>
    <row r="19" spans="1:10" x14ac:dyDescent="0.35">
      <c r="B19" s="32">
        <f>SUM(B15:B18)</f>
        <v>100</v>
      </c>
      <c r="C19" s="32">
        <f t="shared" ref="C19:F19" si="6">SUM(C15:C18)</f>
        <v>100</v>
      </c>
      <c r="D19" s="32">
        <f t="shared" si="6"/>
        <v>100</v>
      </c>
      <c r="E19" s="32">
        <f t="shared" si="6"/>
        <v>100</v>
      </c>
      <c r="F19" s="32">
        <f t="shared" si="6"/>
        <v>100</v>
      </c>
    </row>
    <row r="21" spans="1:10" x14ac:dyDescent="0.35">
      <c r="A21" t="s">
        <v>50</v>
      </c>
      <c r="B21">
        <f>B15+B17</f>
        <v>58</v>
      </c>
      <c r="C21">
        <f t="shared" ref="C21:E21" si="7">C15+C17</f>
        <v>55</v>
      </c>
      <c r="D21">
        <f t="shared" si="7"/>
        <v>52</v>
      </c>
      <c r="E21">
        <f t="shared" si="7"/>
        <v>58</v>
      </c>
      <c r="F21">
        <f>F15+F17</f>
        <v>55</v>
      </c>
      <c r="J21" s="48">
        <f>(J7+J10)/100</f>
        <v>0.54663289383028324</v>
      </c>
    </row>
    <row r="22" spans="1:10" x14ac:dyDescent="0.35">
      <c r="A22" t="s">
        <v>48</v>
      </c>
      <c r="B22" s="33">
        <f>B15/B21</f>
        <v>0.63793103448275867</v>
      </c>
      <c r="C22" s="33">
        <f t="shared" ref="C22:F22" si="8">C15/C21</f>
        <v>0.63636363636363635</v>
      </c>
      <c r="D22" s="33">
        <f t="shared" si="8"/>
        <v>0.59615384615384615</v>
      </c>
      <c r="E22" s="33">
        <f t="shared" si="8"/>
        <v>0.65517241379310343</v>
      </c>
      <c r="F22" s="33">
        <f t="shared" si="8"/>
        <v>0.45454545454545453</v>
      </c>
      <c r="J22" s="48">
        <f>J7/J21/100</f>
        <v>0.6207971715578714</v>
      </c>
    </row>
    <row r="23" spans="1:10" x14ac:dyDescent="0.35">
      <c r="A23" t="s">
        <v>49</v>
      </c>
      <c r="B23" s="33">
        <f>B17/B21</f>
        <v>0.36206896551724138</v>
      </c>
      <c r="C23" s="33">
        <f t="shared" ref="C23:F23" si="9">C17/C21</f>
        <v>0.36363636363636365</v>
      </c>
      <c r="D23" s="33">
        <f t="shared" si="9"/>
        <v>0.40384615384615385</v>
      </c>
      <c r="E23" s="33">
        <f t="shared" si="9"/>
        <v>0.34482758620689657</v>
      </c>
      <c r="F23" s="33">
        <f t="shared" si="9"/>
        <v>0.54545454545454541</v>
      </c>
      <c r="J23" s="48">
        <f>J10/J21/100</f>
        <v>0.37920282844212871</v>
      </c>
    </row>
    <row r="24" spans="1:10" x14ac:dyDescent="0.35">
      <c r="A24" s="1" t="s">
        <v>51</v>
      </c>
      <c r="B24" s="34">
        <f>SUM(B22:B23)</f>
        <v>1</v>
      </c>
      <c r="C24" s="34">
        <f t="shared" ref="C24:F24" si="10">SUM(C22:C23)</f>
        <v>1</v>
      </c>
      <c r="D24" s="34">
        <f t="shared" si="10"/>
        <v>1</v>
      </c>
      <c r="E24" s="34">
        <f t="shared" si="10"/>
        <v>1</v>
      </c>
      <c r="F24" s="34">
        <f t="shared" si="10"/>
        <v>1</v>
      </c>
      <c r="J24" s="48">
        <f>SUM(J22:J23)</f>
        <v>1</v>
      </c>
    </row>
    <row r="26" spans="1:10" x14ac:dyDescent="0.35">
      <c r="A26" s="31" t="s">
        <v>92</v>
      </c>
    </row>
    <row r="27" spans="1:10" x14ac:dyDescent="0.35">
      <c r="A27" s="38" t="s">
        <v>44</v>
      </c>
    </row>
    <row r="28" spans="1:10" x14ac:dyDescent="0.35">
      <c r="A28" t="s">
        <v>61</v>
      </c>
      <c r="B28" s="35">
        <v>1706500</v>
      </c>
      <c r="C28" s="35">
        <v>4827000</v>
      </c>
      <c r="D28" s="35">
        <v>7704300</v>
      </c>
      <c r="E28" s="35">
        <v>6039100</v>
      </c>
      <c r="F28" s="35">
        <v>395200</v>
      </c>
      <c r="G28" s="35">
        <v>518500</v>
      </c>
      <c r="H28" s="35">
        <v>2613700</v>
      </c>
      <c r="I28" s="35">
        <v>244000</v>
      </c>
      <c r="J28" s="36">
        <f>SUM(B28:I28)</f>
        <v>24048300</v>
      </c>
    </row>
    <row r="29" spans="1:10" x14ac:dyDescent="0.35">
      <c r="A29" t="s">
        <v>54</v>
      </c>
      <c r="B29" s="33">
        <f>B28/$J$28</f>
        <v>7.0961356935833303E-2</v>
      </c>
      <c r="C29" s="33">
        <f t="shared" ref="C29:I29" si="11">C28/$J$28</f>
        <v>0.20072104888911066</v>
      </c>
      <c r="D29" s="33">
        <f t="shared" si="11"/>
        <v>0.32036775988323501</v>
      </c>
      <c r="E29" s="33">
        <f t="shared" si="11"/>
        <v>0.25112378005929731</v>
      </c>
      <c r="F29" s="33">
        <f t="shared" si="11"/>
        <v>1.6433594058623685E-2</v>
      </c>
      <c r="G29" s="33">
        <f t="shared" si="11"/>
        <v>2.1560775605760075E-2</v>
      </c>
      <c r="H29" s="33">
        <f t="shared" si="11"/>
        <v>0.10868543722425286</v>
      </c>
      <c r="I29" s="33">
        <f t="shared" si="11"/>
        <v>1.0146247343887095E-2</v>
      </c>
      <c r="J29" s="33">
        <f>SUM(B29:I29)</f>
        <v>1</v>
      </c>
    </row>
    <row r="30" spans="1:10" x14ac:dyDescent="0.35">
      <c r="B30" s="33"/>
      <c r="C30" s="33"/>
      <c r="D30" s="33"/>
      <c r="E30" s="33"/>
      <c r="F30" s="33"/>
      <c r="G30" s="33"/>
      <c r="H30" s="33"/>
      <c r="I30" s="33"/>
      <c r="J30" s="33"/>
    </row>
    <row r="31" spans="1:10" x14ac:dyDescent="0.35">
      <c r="A31" s="38" t="s">
        <v>57</v>
      </c>
      <c r="B31" s="37">
        <f>B28</f>
        <v>1706500</v>
      </c>
      <c r="C31" s="37">
        <f t="shared" ref="C31:G31" si="12">C28</f>
        <v>4827000</v>
      </c>
      <c r="D31" s="37">
        <f t="shared" si="12"/>
        <v>7704300</v>
      </c>
      <c r="E31" s="37">
        <f t="shared" si="12"/>
        <v>6039100</v>
      </c>
      <c r="F31" s="37">
        <f t="shared" si="12"/>
        <v>395200</v>
      </c>
      <c r="G31" s="37">
        <f t="shared" si="12"/>
        <v>518500</v>
      </c>
      <c r="H31" s="33"/>
      <c r="I31" s="33"/>
      <c r="J31" s="37">
        <f>SUM(B31:I31)</f>
        <v>21190600</v>
      </c>
    </row>
    <row r="32" spans="1:10" x14ac:dyDescent="0.35">
      <c r="A32" t="s">
        <v>56</v>
      </c>
      <c r="B32" s="33">
        <f>B31/$J$31</f>
        <v>8.0530990156012575E-2</v>
      </c>
      <c r="C32" s="33">
        <f t="shared" ref="C32:G32" si="13">C31/$J$31</f>
        <v>0.22778968032995761</v>
      </c>
      <c r="D32" s="33">
        <f t="shared" si="13"/>
        <v>0.36357158362670239</v>
      </c>
      <c r="E32" s="33">
        <f t="shared" si="13"/>
        <v>0.28498957084745125</v>
      </c>
      <c r="F32" s="33">
        <f t="shared" si="13"/>
        <v>1.8649778675450434E-2</v>
      </c>
      <c r="G32" s="33">
        <f t="shared" si="13"/>
        <v>2.4468396364425736E-2</v>
      </c>
      <c r="J32" s="34">
        <f>SUM(B32:I32)</f>
        <v>1</v>
      </c>
    </row>
    <row r="35" spans="1:10" x14ac:dyDescent="0.35">
      <c r="A35" s="31" t="s">
        <v>29</v>
      </c>
    </row>
    <row r="36" spans="1:10" x14ac:dyDescent="0.35">
      <c r="A36" s="84" t="s">
        <v>62</v>
      </c>
      <c r="B36" s="84"/>
      <c r="C36" s="84"/>
      <c r="D36" s="84"/>
      <c r="E36" s="84"/>
      <c r="F36" s="84"/>
      <c r="G36" s="84"/>
      <c r="H36" s="84"/>
      <c r="I36" s="84"/>
      <c r="J36" s="84"/>
    </row>
    <row r="37" spans="1:10" ht="46.5" customHeight="1" x14ac:dyDescent="0.35">
      <c r="A37" s="78" t="s">
        <v>60</v>
      </c>
      <c r="B37" s="78"/>
      <c r="C37" s="78"/>
      <c r="D37" s="78"/>
      <c r="E37" s="78"/>
      <c r="F37" s="78"/>
      <c r="G37" s="78"/>
      <c r="H37" s="78"/>
      <c r="I37" s="78"/>
      <c r="J37" s="78"/>
    </row>
    <row r="38" spans="1:10" x14ac:dyDescent="0.35">
      <c r="A38" s="83"/>
      <c r="B38" s="83"/>
      <c r="C38" s="83"/>
      <c r="D38" s="83"/>
      <c r="E38" s="83"/>
      <c r="F38" s="83"/>
      <c r="G38" s="83"/>
      <c r="H38" s="83"/>
      <c r="I38" s="83"/>
      <c r="J38" s="83"/>
    </row>
    <row r="39" spans="1:10" x14ac:dyDescent="0.35">
      <c r="A39" s="83"/>
      <c r="B39" s="83"/>
      <c r="C39" s="83"/>
      <c r="D39" s="83"/>
      <c r="E39" s="83"/>
      <c r="F39" s="83"/>
      <c r="G39" s="83"/>
      <c r="H39" s="83"/>
      <c r="I39" s="83"/>
      <c r="J39" s="83"/>
    </row>
    <row r="40" spans="1:10" x14ac:dyDescent="0.35">
      <c r="A40" s="83"/>
      <c r="B40" s="83"/>
      <c r="C40" s="83"/>
      <c r="D40" s="83"/>
      <c r="E40" s="83"/>
      <c r="F40" s="83"/>
      <c r="G40" s="83"/>
      <c r="H40" s="83"/>
      <c r="I40" s="83"/>
      <c r="J40" s="83"/>
    </row>
    <row r="41" spans="1:10" x14ac:dyDescent="0.35">
      <c r="A41" s="83"/>
      <c r="B41" s="83"/>
      <c r="C41" s="83"/>
      <c r="D41" s="83"/>
      <c r="E41" s="83"/>
      <c r="F41" s="83"/>
      <c r="G41" s="83"/>
      <c r="H41" s="83"/>
      <c r="I41" s="83"/>
      <c r="J41" s="83"/>
    </row>
    <row r="42" spans="1:10" x14ac:dyDescent="0.35">
      <c r="A42" s="83"/>
      <c r="B42" s="83"/>
      <c r="C42" s="83"/>
      <c r="D42" s="83"/>
      <c r="E42" s="83"/>
      <c r="F42" s="83"/>
      <c r="G42" s="83"/>
      <c r="H42" s="83"/>
      <c r="I42" s="83"/>
      <c r="J42" s="83"/>
    </row>
    <row r="43" spans="1:10" x14ac:dyDescent="0.35">
      <c r="A43" s="83"/>
      <c r="B43" s="83"/>
      <c r="C43" s="83"/>
      <c r="D43" s="83"/>
      <c r="E43" s="83"/>
      <c r="F43" s="83"/>
      <c r="G43" s="83"/>
      <c r="H43" s="83"/>
      <c r="I43" s="83"/>
      <c r="J43" s="83"/>
    </row>
    <row r="44" spans="1:10" x14ac:dyDescent="0.35">
      <c r="A44" s="83"/>
      <c r="B44" s="83"/>
      <c r="C44" s="83"/>
      <c r="D44" s="83"/>
      <c r="E44" s="83"/>
      <c r="F44" s="83"/>
      <c r="G44" s="83"/>
      <c r="H44" s="83"/>
      <c r="I44" s="83"/>
      <c r="J44" s="83"/>
    </row>
    <row r="45" spans="1:10" x14ac:dyDescent="0.35">
      <c r="A45" s="83"/>
      <c r="B45" s="83"/>
      <c r="C45" s="83"/>
      <c r="D45" s="83"/>
      <c r="E45" s="83"/>
      <c r="F45" s="83"/>
      <c r="G45" s="83"/>
      <c r="H45" s="83"/>
      <c r="I45" s="83"/>
      <c r="J45" s="83"/>
    </row>
    <row r="46" spans="1:10" x14ac:dyDescent="0.35">
      <c r="A46" s="83"/>
      <c r="B46" s="83"/>
      <c r="C46" s="83"/>
      <c r="D46" s="83"/>
      <c r="E46" s="83"/>
      <c r="F46" s="83"/>
      <c r="G46" s="83"/>
      <c r="H46" s="83"/>
      <c r="I46" s="83"/>
      <c r="J46" s="83"/>
    </row>
    <row r="47" spans="1:10" x14ac:dyDescent="0.35">
      <c r="A47" s="83"/>
      <c r="B47" s="83"/>
      <c r="C47" s="83"/>
      <c r="D47" s="83"/>
      <c r="E47" s="83"/>
      <c r="F47" s="83"/>
      <c r="G47" s="83"/>
      <c r="H47" s="83"/>
      <c r="I47" s="83"/>
      <c r="J47" s="83"/>
    </row>
    <row r="48" spans="1:10" x14ac:dyDescent="0.35">
      <c r="A48" s="83"/>
      <c r="B48" s="83"/>
      <c r="C48" s="83"/>
      <c r="D48" s="83"/>
      <c r="E48" s="83"/>
      <c r="F48" s="83"/>
      <c r="G48" s="83"/>
      <c r="H48" s="83"/>
      <c r="I48" s="83"/>
      <c r="J48" s="83"/>
    </row>
    <row r="49" spans="1:10" x14ac:dyDescent="0.35">
      <c r="A49" s="83"/>
      <c r="B49" s="83"/>
      <c r="C49" s="83"/>
      <c r="D49" s="83"/>
      <c r="E49" s="83"/>
      <c r="F49" s="83"/>
      <c r="G49" s="83"/>
      <c r="H49" s="83"/>
      <c r="I49" s="83"/>
      <c r="J49" s="83"/>
    </row>
  </sheetData>
  <mergeCells count="14">
    <mergeCell ref="A48:J48"/>
    <mergeCell ref="A49:J49"/>
    <mergeCell ref="A42:J42"/>
    <mergeCell ref="A43:J43"/>
    <mergeCell ref="A44:J44"/>
    <mergeCell ref="A45:J45"/>
    <mergeCell ref="A46:J46"/>
    <mergeCell ref="A47:J47"/>
    <mergeCell ref="A41:J41"/>
    <mergeCell ref="A37:J37"/>
    <mergeCell ref="A36:J36"/>
    <mergeCell ref="A38:J38"/>
    <mergeCell ref="A39:J39"/>
    <mergeCell ref="A40:J40"/>
  </mergeCells>
  <hyperlinks>
    <hyperlink ref="A4" r:id="rId1"/>
  </hyperlinks>
  <pageMargins left="0.7" right="0.7" top="0.75" bottom="0.75" header="0.3" footer="0.3"/>
  <pageSetup paperSize="9" scale="84"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58</vt:i4>
      </vt:variant>
    </vt:vector>
  </HeadingPairs>
  <TitlesOfParts>
    <vt:vector size="61" baseType="lpstr">
      <vt:lpstr>Summary</vt:lpstr>
      <vt:lpstr>AEMC</vt:lpstr>
      <vt:lpstr>CME2016</vt:lpstr>
      <vt:lpstr>ActDisPercent</vt:lpstr>
      <vt:lpstr>ActEnvPercent</vt:lpstr>
      <vt:lpstr>ActGenPercent</vt:lpstr>
      <vt:lpstr>ActRetailPercentOfRetailAndWholesale</vt:lpstr>
      <vt:lpstr>ActRetPercent</vt:lpstr>
      <vt:lpstr>ActTotalckWh</vt:lpstr>
      <vt:lpstr>ActTraPercent</vt:lpstr>
      <vt:lpstr>ACTWholesalePercentOfRetailAndWholesale</vt:lpstr>
      <vt:lpstr>NemDisPercent</vt:lpstr>
      <vt:lpstr>NemEnvPercent</vt:lpstr>
      <vt:lpstr>NemGenPercent</vt:lpstr>
      <vt:lpstr>NemRetailPercentOfRetailAndWholesale</vt:lpstr>
      <vt:lpstr>NemRetPercent</vt:lpstr>
      <vt:lpstr>NemTotalckWh</vt:lpstr>
      <vt:lpstr>NemTraPercent</vt:lpstr>
      <vt:lpstr>NemWholesalePercentOfRetailAndWholesale</vt:lpstr>
      <vt:lpstr>NswDisPercent</vt:lpstr>
      <vt:lpstr>NswEnvPercent</vt:lpstr>
      <vt:lpstr>NswGenPercent</vt:lpstr>
      <vt:lpstr>NswRetailPercentOfRetailAndWholesale</vt:lpstr>
      <vt:lpstr>NswRetPercent</vt:lpstr>
      <vt:lpstr>NswTotalckWh</vt:lpstr>
      <vt:lpstr>NswTraPercent</vt:lpstr>
      <vt:lpstr>NswWholesalePercentOfRetailAndWholesale</vt:lpstr>
      <vt:lpstr>AEMC!Print_Area</vt:lpstr>
      <vt:lpstr>'CME2016'!Print_Area</vt:lpstr>
      <vt:lpstr>Summary!Print_Area</vt:lpstr>
      <vt:lpstr>QldDisPercent</vt:lpstr>
      <vt:lpstr>QldEnvPercent</vt:lpstr>
      <vt:lpstr>QldGenPercent</vt:lpstr>
      <vt:lpstr>QldRetailPercentOfRetailAndWholesale</vt:lpstr>
      <vt:lpstr>QldRetPercent</vt:lpstr>
      <vt:lpstr>QldTotalckWh</vt:lpstr>
      <vt:lpstr>QldTraPercent</vt:lpstr>
      <vt:lpstr>QldWholesalePercentOfRetailAndWholesale</vt:lpstr>
      <vt:lpstr>SaDisPercent</vt:lpstr>
      <vt:lpstr>SaEnvPercent</vt:lpstr>
      <vt:lpstr>SaGenPercent</vt:lpstr>
      <vt:lpstr>SaRetailPercentOfRetailAndWholesale</vt:lpstr>
      <vt:lpstr>SaRetPercent</vt:lpstr>
      <vt:lpstr>SaTotalckWh</vt:lpstr>
      <vt:lpstr>SaTraPercent</vt:lpstr>
      <vt:lpstr>SaWholesalePercentOfRetailAndWholesale</vt:lpstr>
      <vt:lpstr>TasDisPercent</vt:lpstr>
      <vt:lpstr>TasEnvPercent</vt:lpstr>
      <vt:lpstr>TasGenPercent</vt:lpstr>
      <vt:lpstr>TasRetailPercent</vt:lpstr>
      <vt:lpstr>TasRetPercent</vt:lpstr>
      <vt:lpstr>TasTotalckWh</vt:lpstr>
      <vt:lpstr>TasTraPercent</vt:lpstr>
      <vt:lpstr>VicDisPercent</vt:lpstr>
      <vt:lpstr>VicEnvPercent</vt:lpstr>
      <vt:lpstr>VicGenPercent</vt:lpstr>
      <vt:lpstr>VicRetailPercentOfRetailAndWholesale</vt:lpstr>
      <vt:lpstr>VicRetPercent</vt:lpstr>
      <vt:lpstr>VicTotalckWh</vt:lpstr>
      <vt:lpstr>VicTraPercent</vt:lpstr>
      <vt:lpstr>VicWholesalePercentOfRetailAndWholesale</vt:lpstr>
    </vt:vector>
  </TitlesOfParts>
  <Company>Backroad Connections Pty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Gilding</dc:creator>
  <cp:lastModifiedBy>Jack Gilding</cp:lastModifiedBy>
  <cp:lastPrinted>2016-11-07T23:16:50Z</cp:lastPrinted>
  <dcterms:created xsi:type="dcterms:W3CDTF">2016-09-08T06:45:06Z</dcterms:created>
  <dcterms:modified xsi:type="dcterms:W3CDTF">2016-11-28T05:05:47Z</dcterms:modified>
</cp:coreProperties>
</file>